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A-APPS02\Users$\dwood\FY 2023\Operating Budget\"/>
    </mc:Choice>
  </mc:AlternateContent>
  <xr:revisionPtr revIDLastSave="0" documentId="13_ncr:1_{80D5F4C7-8DF5-41EC-92BB-ACB4578BFD42}" xr6:coauthVersionLast="47" xr6:coauthVersionMax="47" xr10:uidLastSave="{00000000-0000-0000-0000-000000000000}"/>
  <bookViews>
    <workbookView xWindow="28680" yWindow="-120" windowWidth="29040" windowHeight="15840" firstSheet="6" activeTab="6" xr2:uid="{00000000-000D-0000-FFFF-FFFF00000000}"/>
  </bookViews>
  <sheets>
    <sheet name="21 vs 20 Actuals thru Nov" sheetId="8" r:id="rId1"/>
    <sheet name="21 Act vs 21 Budg thru Nov" sheetId="9" r:id="rId2"/>
    <sheet name="21 vs 20 Actuals thru Dec" sheetId="10" r:id="rId3"/>
    <sheet name="21 Act vs 21 Budg thru Dec" sheetId="11" r:id="rId4"/>
    <sheet name="21 vs 20 Actuals thru Feb" sheetId="13" r:id="rId5"/>
    <sheet name="21 Act vs 21 Budg thru Feb" sheetId="14" r:id="rId6"/>
    <sheet name="FY 2023 BOC" sheetId="17" r:id="rId7"/>
  </sheets>
  <definedNames>
    <definedName name="_xlnm.Print_Area" localSheetId="3">'21 Act vs 21 Budg thru Dec'!$A$1:$H$70</definedName>
    <definedName name="_xlnm.Print_Area" localSheetId="5">'21 Act vs 21 Budg thru Feb'!$A$1:$H$73</definedName>
    <definedName name="_xlnm.Print_Area" localSheetId="1">'21 Act vs 21 Budg thru Nov'!$A$1:$H$70</definedName>
    <definedName name="_xlnm.Print_Area" localSheetId="2">'21 vs 20 Actuals thru Dec'!$A$1:$H$70</definedName>
    <definedName name="_xlnm.Print_Area" localSheetId="4">'21 vs 20 Actuals thru Feb'!$A$1:$H$73</definedName>
    <definedName name="_xlnm.Print_Area" localSheetId="0">'21 vs 20 Actuals thru Nov'!$A$1:$H$70</definedName>
    <definedName name="_xlnm.Print_Area" localSheetId="6">'FY 2023 BOC'!$A$1:$E$65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4" l="1"/>
  <c r="G68" i="14"/>
  <c r="G72" i="14"/>
  <c r="G66" i="14"/>
  <c r="F72" i="14"/>
  <c r="C73" i="14"/>
  <c r="C72" i="14"/>
  <c r="B72" i="14"/>
  <c r="C41" i="14"/>
  <c r="C37" i="14"/>
  <c r="B37" i="14"/>
  <c r="C35" i="14"/>
  <c r="B35" i="14"/>
  <c r="C35" i="13"/>
  <c r="B35" i="13"/>
  <c r="B33" i="13"/>
  <c r="F33" i="14"/>
  <c r="C29" i="14"/>
  <c r="C21" i="14"/>
  <c r="C17" i="14"/>
  <c r="B64" i="14"/>
  <c r="B57" i="14"/>
  <c r="B45" i="14"/>
  <c r="B66" i="14" s="1"/>
  <c r="B41" i="14"/>
  <c r="B31" i="14"/>
  <c r="B29" i="14"/>
  <c r="B28" i="14"/>
  <c r="B21" i="14"/>
  <c r="B17" i="14"/>
  <c r="B23" i="14" s="1"/>
  <c r="B25" i="14" s="1"/>
  <c r="B14" i="14"/>
  <c r="F35" i="14" l="1"/>
  <c r="B33" i="14"/>
  <c r="B73" i="14" s="1"/>
  <c r="C73" i="13"/>
  <c r="B72" i="13"/>
  <c r="B68" i="13"/>
  <c r="B73" i="13"/>
  <c r="C72" i="13"/>
  <c r="G72" i="13"/>
  <c r="F72" i="13"/>
  <c r="C41" i="13"/>
  <c r="B41" i="13"/>
  <c r="C28" i="13"/>
  <c r="C29" i="13" s="1"/>
  <c r="C21" i="13"/>
  <c r="C17" i="13"/>
  <c r="B28" i="13"/>
  <c r="B29" i="13" s="1"/>
  <c r="B21" i="13"/>
  <c r="B68" i="14" l="1"/>
  <c r="B70" i="14" s="1"/>
  <c r="B17" i="13"/>
  <c r="D64" i="14" l="1"/>
  <c r="D66" i="14" s="1"/>
  <c r="C64" i="14"/>
  <c r="F64" i="14" s="1"/>
  <c r="G64" i="14" s="1"/>
  <c r="F63" i="14"/>
  <c r="G63" i="14" s="1"/>
  <c r="F62" i="14"/>
  <c r="G62" i="14" s="1"/>
  <c r="F61" i="14"/>
  <c r="G61" i="14" s="1"/>
  <c r="F60" i="14"/>
  <c r="G60" i="14" s="1"/>
  <c r="D57" i="14"/>
  <c r="C57" i="14"/>
  <c r="F57" i="14" s="1"/>
  <c r="G57" i="14" s="1"/>
  <c r="F56" i="14"/>
  <c r="G56" i="14" s="1"/>
  <c r="F55" i="14"/>
  <c r="G55" i="14" s="1"/>
  <c r="F54" i="14"/>
  <c r="G54" i="14" s="1"/>
  <c r="F53" i="14"/>
  <c r="G53" i="14" s="1"/>
  <c r="F52" i="14"/>
  <c r="F51" i="14"/>
  <c r="G51" i="14" s="1"/>
  <c r="F50" i="14"/>
  <c r="G50" i="14" s="1"/>
  <c r="G49" i="14"/>
  <c r="F49" i="14"/>
  <c r="F48" i="14"/>
  <c r="G48" i="14" s="1"/>
  <c r="D45" i="14"/>
  <c r="F44" i="14"/>
  <c r="G44" i="14" s="1"/>
  <c r="F43" i="14"/>
  <c r="G43" i="14" s="1"/>
  <c r="F42" i="14"/>
  <c r="G42" i="14" s="1"/>
  <c r="D41" i="14"/>
  <c r="C45" i="14"/>
  <c r="C31" i="14"/>
  <c r="F30" i="14"/>
  <c r="G30" i="14" s="1"/>
  <c r="F29" i="14"/>
  <c r="D28" i="14"/>
  <c r="D29" i="14" s="1"/>
  <c r="D25" i="14"/>
  <c r="D23" i="14"/>
  <c r="F22" i="14"/>
  <c r="G22" i="14" s="1"/>
  <c r="D22" i="14"/>
  <c r="F21" i="14"/>
  <c r="G21" i="14" s="1"/>
  <c r="F20" i="14"/>
  <c r="G20" i="14" s="1"/>
  <c r="F19" i="14"/>
  <c r="G19" i="14" s="1"/>
  <c r="F18" i="14"/>
  <c r="G18" i="14" s="1"/>
  <c r="D17" i="14"/>
  <c r="C23" i="14"/>
  <c r="F17" i="14"/>
  <c r="D14" i="14"/>
  <c r="C14" i="14"/>
  <c r="F14" i="14" s="1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D64" i="13"/>
  <c r="C64" i="13"/>
  <c r="B64" i="13"/>
  <c r="F63" i="13"/>
  <c r="G63" i="13" s="1"/>
  <c r="F62" i="13"/>
  <c r="G62" i="13" s="1"/>
  <c r="F61" i="13"/>
  <c r="G61" i="13" s="1"/>
  <c r="F60" i="13"/>
  <c r="G60" i="13" s="1"/>
  <c r="D57" i="13"/>
  <c r="C57" i="13"/>
  <c r="B57" i="13"/>
  <c r="F56" i="13"/>
  <c r="G56" i="13" s="1"/>
  <c r="F55" i="13"/>
  <c r="G55" i="13" s="1"/>
  <c r="F54" i="13"/>
  <c r="G54" i="13" s="1"/>
  <c r="F53" i="13"/>
  <c r="G53" i="13" s="1"/>
  <c r="F52" i="13"/>
  <c r="F51" i="13"/>
  <c r="G51" i="13" s="1"/>
  <c r="F50" i="13"/>
  <c r="G50" i="13" s="1"/>
  <c r="F49" i="13"/>
  <c r="G49" i="13" s="1"/>
  <c r="F48" i="13"/>
  <c r="G48" i="13" s="1"/>
  <c r="C45" i="13"/>
  <c r="B45" i="13"/>
  <c r="F44" i="13"/>
  <c r="G44" i="13" s="1"/>
  <c r="F43" i="13"/>
  <c r="G43" i="13" s="1"/>
  <c r="F42" i="13"/>
  <c r="G42" i="13" s="1"/>
  <c r="F41" i="13"/>
  <c r="G41" i="13" s="1"/>
  <c r="D41" i="13"/>
  <c r="D45" i="13" s="1"/>
  <c r="C31" i="13"/>
  <c r="B31" i="13"/>
  <c r="F30" i="13"/>
  <c r="G30" i="13" s="1"/>
  <c r="F29" i="13"/>
  <c r="G29" i="13" s="1"/>
  <c r="F28" i="13"/>
  <c r="G28" i="13" s="1"/>
  <c r="D28" i="13"/>
  <c r="D29" i="13" s="1"/>
  <c r="C23" i="13"/>
  <c r="F22" i="13"/>
  <c r="G22" i="13" s="1"/>
  <c r="D22" i="13"/>
  <c r="D23" i="13" s="1"/>
  <c r="D25" i="13" s="1"/>
  <c r="F21" i="13"/>
  <c r="G21" i="13" s="1"/>
  <c r="F20" i="13"/>
  <c r="G20" i="13" s="1"/>
  <c r="F19" i="13"/>
  <c r="G19" i="13" s="1"/>
  <c r="F18" i="13"/>
  <c r="G18" i="13" s="1"/>
  <c r="F17" i="13"/>
  <c r="D17" i="13"/>
  <c r="B23" i="13"/>
  <c r="D14" i="13"/>
  <c r="C14" i="13"/>
  <c r="B14" i="13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C41" i="11"/>
  <c r="C29" i="11"/>
  <c r="C28" i="11"/>
  <c r="C17" i="11"/>
  <c r="C21" i="11"/>
  <c r="B64" i="11"/>
  <c r="B57" i="11"/>
  <c r="B41" i="11"/>
  <c r="B45" i="11" s="1"/>
  <c r="B66" i="11" s="1"/>
  <c r="B31" i="11"/>
  <c r="B29" i="11"/>
  <c r="B28" i="11"/>
  <c r="B21" i="11"/>
  <c r="B17" i="11"/>
  <c r="B23" i="11" s="1"/>
  <c r="B25" i="11" s="1"/>
  <c r="B14" i="11"/>
  <c r="C41" i="10"/>
  <c r="B41" i="10"/>
  <c r="C35" i="10"/>
  <c r="B35" i="10"/>
  <c r="B29" i="10"/>
  <c r="C28" i="10"/>
  <c r="B28" i="10"/>
  <c r="B21" i="10"/>
  <c r="C17" i="10"/>
  <c r="C21" i="10"/>
  <c r="C25" i="14" l="1"/>
  <c r="F57" i="13"/>
  <c r="G57" i="13" s="1"/>
  <c r="C66" i="13"/>
  <c r="F45" i="13"/>
  <c r="G45" i="13" s="1"/>
  <c r="B66" i="13"/>
  <c r="F14" i="13"/>
  <c r="G14" i="13" s="1"/>
  <c r="C25" i="13"/>
  <c r="C33" i="13" s="1"/>
  <c r="F23" i="13"/>
  <c r="G23" i="13" s="1"/>
  <c r="B25" i="13"/>
  <c r="F31" i="14"/>
  <c r="D31" i="14"/>
  <c r="D35" i="14" s="1"/>
  <c r="D68" i="14" s="1"/>
  <c r="D70" i="14" s="1"/>
  <c r="C66" i="14"/>
  <c r="G17" i="14"/>
  <c r="F23" i="14"/>
  <c r="F45" i="14"/>
  <c r="G45" i="14" s="1"/>
  <c r="F41" i="14"/>
  <c r="G41" i="14" s="1"/>
  <c r="F28" i="14"/>
  <c r="G28" i="14" s="1"/>
  <c r="D66" i="13"/>
  <c r="D31" i="13"/>
  <c r="D35" i="13" s="1"/>
  <c r="D68" i="13" s="1"/>
  <c r="D70" i="13" s="1"/>
  <c r="F64" i="13"/>
  <c r="G64" i="13" s="1"/>
  <c r="F31" i="13"/>
  <c r="G17" i="13"/>
  <c r="B35" i="11"/>
  <c r="B68" i="11" s="1"/>
  <c r="B70" i="11" s="1"/>
  <c r="B33" i="11"/>
  <c r="C68" i="14" l="1"/>
  <c r="C70" i="14" s="1"/>
  <c r="C33" i="14"/>
  <c r="G33" i="14" s="1"/>
  <c r="F66" i="13"/>
  <c r="G66" i="13" s="1"/>
  <c r="C68" i="13"/>
  <c r="C70" i="13" s="1"/>
  <c r="F25" i="13"/>
  <c r="G25" i="13" s="1"/>
  <c r="B70" i="13"/>
  <c r="F33" i="13"/>
  <c r="G33" i="13" s="1"/>
  <c r="D37" i="14"/>
  <c r="F66" i="14"/>
  <c r="G31" i="14"/>
  <c r="G23" i="14"/>
  <c r="F25" i="14"/>
  <c r="G25" i="14" s="1"/>
  <c r="D37" i="13"/>
  <c r="G31" i="13"/>
  <c r="B37" i="11"/>
  <c r="C37" i="13" l="1"/>
  <c r="F35" i="13"/>
  <c r="G35" i="13" s="1"/>
  <c r="B37" i="13"/>
  <c r="F68" i="13"/>
  <c r="G68" i="13" s="1"/>
  <c r="G35" i="14"/>
  <c r="B17" i="10"/>
  <c r="B23" i="10" s="1"/>
  <c r="D64" i="11"/>
  <c r="C64" i="11"/>
  <c r="F64" i="11" s="1"/>
  <c r="G64" i="11" s="1"/>
  <c r="F63" i="11"/>
  <c r="G63" i="11" s="1"/>
  <c r="F62" i="11"/>
  <c r="G62" i="11" s="1"/>
  <c r="G61" i="11"/>
  <c r="F61" i="11"/>
  <c r="F60" i="11"/>
  <c r="G60" i="11" s="1"/>
  <c r="D57" i="11"/>
  <c r="C57" i="11"/>
  <c r="F57" i="11" s="1"/>
  <c r="G57" i="11" s="1"/>
  <c r="F56" i="11"/>
  <c r="G56" i="11" s="1"/>
  <c r="F55" i="11"/>
  <c r="G55" i="11" s="1"/>
  <c r="F54" i="11"/>
  <c r="G54" i="11" s="1"/>
  <c r="F53" i="11"/>
  <c r="G53" i="11" s="1"/>
  <c r="F52" i="11"/>
  <c r="F51" i="11"/>
  <c r="G51" i="11" s="1"/>
  <c r="F50" i="11"/>
  <c r="G50" i="11" s="1"/>
  <c r="F49" i="11"/>
  <c r="G49" i="11" s="1"/>
  <c r="F48" i="11"/>
  <c r="G48" i="11" s="1"/>
  <c r="F44" i="11"/>
  <c r="G44" i="11" s="1"/>
  <c r="F43" i="11"/>
  <c r="G43" i="11" s="1"/>
  <c r="F42" i="11"/>
  <c r="G42" i="11" s="1"/>
  <c r="D41" i="11"/>
  <c r="D45" i="11" s="1"/>
  <c r="C45" i="11"/>
  <c r="F45" i="11" s="1"/>
  <c r="G45" i="11" s="1"/>
  <c r="F30" i="11"/>
  <c r="G30" i="11" s="1"/>
  <c r="F29" i="11"/>
  <c r="G29" i="11" s="1"/>
  <c r="F28" i="11"/>
  <c r="G28" i="11" s="1"/>
  <c r="D28" i="11"/>
  <c r="D29" i="11" s="1"/>
  <c r="D23" i="11"/>
  <c r="D25" i="11" s="1"/>
  <c r="D22" i="11"/>
  <c r="F21" i="11"/>
  <c r="G21" i="11" s="1"/>
  <c r="F20" i="11"/>
  <c r="G20" i="11" s="1"/>
  <c r="F19" i="11"/>
  <c r="G19" i="11" s="1"/>
  <c r="F18" i="11"/>
  <c r="G18" i="11" s="1"/>
  <c r="D17" i="11"/>
  <c r="D14" i="11"/>
  <c r="C14" i="11"/>
  <c r="F14" i="11" s="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D64" i="10"/>
  <c r="C64" i="10"/>
  <c r="B64" i="10"/>
  <c r="F63" i="10"/>
  <c r="G63" i="10" s="1"/>
  <c r="F62" i="10"/>
  <c r="G62" i="10" s="1"/>
  <c r="F61" i="10"/>
  <c r="G61" i="10" s="1"/>
  <c r="F60" i="10"/>
  <c r="G60" i="10" s="1"/>
  <c r="D57" i="10"/>
  <c r="C57" i="10"/>
  <c r="B57" i="10"/>
  <c r="F56" i="10"/>
  <c r="G56" i="10" s="1"/>
  <c r="F55" i="10"/>
  <c r="G55" i="10" s="1"/>
  <c r="F54" i="10"/>
  <c r="G54" i="10" s="1"/>
  <c r="F53" i="10"/>
  <c r="G53" i="10" s="1"/>
  <c r="F52" i="10"/>
  <c r="F51" i="10"/>
  <c r="G51" i="10" s="1"/>
  <c r="F50" i="10"/>
  <c r="G50" i="10" s="1"/>
  <c r="F49" i="10"/>
  <c r="G49" i="10" s="1"/>
  <c r="F48" i="10"/>
  <c r="G48" i="10" s="1"/>
  <c r="D45" i="10"/>
  <c r="D66" i="10" s="1"/>
  <c r="C45" i="10"/>
  <c r="B45" i="10"/>
  <c r="F44" i="10"/>
  <c r="G44" i="10" s="1"/>
  <c r="F43" i="10"/>
  <c r="G43" i="10" s="1"/>
  <c r="F42" i="10"/>
  <c r="G42" i="10" s="1"/>
  <c r="F41" i="10"/>
  <c r="G41" i="10" s="1"/>
  <c r="D41" i="10"/>
  <c r="C31" i="10"/>
  <c r="B31" i="10"/>
  <c r="F30" i="10"/>
  <c r="G30" i="10" s="1"/>
  <c r="F29" i="10"/>
  <c r="G29" i="10" s="1"/>
  <c r="F28" i="10"/>
  <c r="G28" i="10" s="1"/>
  <c r="D28" i="10"/>
  <c r="D29" i="10" s="1"/>
  <c r="F22" i="10"/>
  <c r="G22" i="10" s="1"/>
  <c r="D22" i="10"/>
  <c r="F21" i="10"/>
  <c r="G21" i="10" s="1"/>
  <c r="F20" i="10"/>
  <c r="G20" i="10" s="1"/>
  <c r="F19" i="10"/>
  <c r="G19" i="10" s="1"/>
  <c r="F18" i="10"/>
  <c r="G18" i="10" s="1"/>
  <c r="D17" i="10"/>
  <c r="D23" i="10" s="1"/>
  <c r="D25" i="10" s="1"/>
  <c r="C23" i="10"/>
  <c r="D14" i="10"/>
  <c r="C14" i="10"/>
  <c r="B14" i="10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68" i="14" l="1"/>
  <c r="C66" i="11"/>
  <c r="F66" i="11" s="1"/>
  <c r="G66" i="11" s="1"/>
  <c r="C66" i="10"/>
  <c r="F57" i="10"/>
  <c r="G57" i="10" s="1"/>
  <c r="F45" i="10"/>
  <c r="G45" i="10" s="1"/>
  <c r="B66" i="10"/>
  <c r="F31" i="10"/>
  <c r="G31" i="10" s="1"/>
  <c r="F14" i="10"/>
  <c r="G14" i="10" s="1"/>
  <c r="C25" i="10"/>
  <c r="C33" i="10" s="1"/>
  <c r="B25" i="10"/>
  <c r="B33" i="10" s="1"/>
  <c r="D37" i="11"/>
  <c r="D66" i="11"/>
  <c r="F22" i="11"/>
  <c r="G22" i="11" s="1"/>
  <c r="C31" i="11"/>
  <c r="F31" i="11" s="1"/>
  <c r="D31" i="11"/>
  <c r="D35" i="11" s="1"/>
  <c r="D68" i="11" s="1"/>
  <c r="D70" i="11" s="1"/>
  <c r="F41" i="11"/>
  <c r="G41" i="11" s="1"/>
  <c r="F17" i="11"/>
  <c r="F17" i="10"/>
  <c r="D31" i="10"/>
  <c r="D35" i="10" s="1"/>
  <c r="D68" i="10" s="1"/>
  <c r="D70" i="10" s="1"/>
  <c r="F64" i="10"/>
  <c r="G64" i="10" s="1"/>
  <c r="G68" i="9"/>
  <c r="C23" i="11" l="1"/>
  <c r="C25" i="11" s="1"/>
  <c r="C33" i="11" s="1"/>
  <c r="F33" i="11" s="1"/>
  <c r="G33" i="11" s="1"/>
  <c r="F66" i="10"/>
  <c r="G66" i="10" s="1"/>
  <c r="F33" i="10"/>
  <c r="G33" i="10" s="1"/>
  <c r="C68" i="10"/>
  <c r="C70" i="10" s="1"/>
  <c r="B68" i="10"/>
  <c r="G31" i="11"/>
  <c r="G17" i="11"/>
  <c r="F23" i="11"/>
  <c r="D37" i="10"/>
  <c r="G17" i="10"/>
  <c r="F23" i="10"/>
  <c r="C41" i="9"/>
  <c r="C35" i="9"/>
  <c r="B35" i="9"/>
  <c r="C29" i="9"/>
  <c r="C22" i="9"/>
  <c r="C21" i="9"/>
  <c r="C17" i="9"/>
  <c r="B64" i="9"/>
  <c r="B66" i="9" s="1"/>
  <c r="B57" i="9"/>
  <c r="B45" i="9"/>
  <c r="B41" i="9"/>
  <c r="B31" i="9"/>
  <c r="B21" i="9"/>
  <c r="B17" i="9"/>
  <c r="B23" i="9" s="1"/>
  <c r="B25" i="9" s="1"/>
  <c r="B14" i="9"/>
  <c r="C35" i="11" l="1"/>
  <c r="C37" i="11" s="1"/>
  <c r="C37" i="10"/>
  <c r="B37" i="10"/>
  <c r="F25" i="11"/>
  <c r="G23" i="11"/>
  <c r="F68" i="10"/>
  <c r="G68" i="10" s="1"/>
  <c r="B70" i="10"/>
  <c r="G23" i="10"/>
  <c r="F25" i="10"/>
  <c r="B33" i="9"/>
  <c r="C41" i="8"/>
  <c r="B41" i="8"/>
  <c r="B37" i="8"/>
  <c r="C37" i="8"/>
  <c r="C17" i="8"/>
  <c r="B35" i="8"/>
  <c r="B17" i="8"/>
  <c r="C21" i="8"/>
  <c r="B21" i="8"/>
  <c r="C68" i="11" l="1"/>
  <c r="C70" i="11" s="1"/>
  <c r="G25" i="11"/>
  <c r="F35" i="11"/>
  <c r="G35" i="11" s="1"/>
  <c r="F35" i="10"/>
  <c r="G35" i="10" s="1"/>
  <c r="G25" i="10"/>
  <c r="B68" i="9"/>
  <c r="B70" i="9" s="1"/>
  <c r="B37" i="9"/>
  <c r="F68" i="11" l="1"/>
  <c r="G68" i="11" s="1"/>
  <c r="F52" i="9"/>
  <c r="F52" i="8" l="1"/>
  <c r="D64" i="9" l="1"/>
  <c r="C64" i="9"/>
  <c r="F63" i="9"/>
  <c r="G63" i="9" s="1"/>
  <c r="F62" i="9"/>
  <c r="G62" i="9" s="1"/>
  <c r="F61" i="9"/>
  <c r="G61" i="9" s="1"/>
  <c r="F60" i="9"/>
  <c r="G60" i="9" s="1"/>
  <c r="D57" i="9"/>
  <c r="C57" i="9"/>
  <c r="F56" i="9"/>
  <c r="G56" i="9" s="1"/>
  <c r="F55" i="9"/>
  <c r="G55" i="9" s="1"/>
  <c r="F54" i="9"/>
  <c r="G54" i="9" s="1"/>
  <c r="F53" i="9"/>
  <c r="G53" i="9" s="1"/>
  <c r="F51" i="9"/>
  <c r="G51" i="9" s="1"/>
  <c r="F50" i="9"/>
  <c r="G50" i="9" s="1"/>
  <c r="F49" i="9"/>
  <c r="G49" i="9" s="1"/>
  <c r="F48" i="9"/>
  <c r="G48" i="9" s="1"/>
  <c r="C45" i="9"/>
  <c r="F44" i="9"/>
  <c r="G44" i="9" s="1"/>
  <c r="F43" i="9"/>
  <c r="G43" i="9" s="1"/>
  <c r="F42" i="9"/>
  <c r="G42" i="9" s="1"/>
  <c r="D41" i="9"/>
  <c r="D45" i="9" s="1"/>
  <c r="F41" i="9"/>
  <c r="G41" i="9" s="1"/>
  <c r="F30" i="9"/>
  <c r="G30" i="9" s="1"/>
  <c r="F29" i="9"/>
  <c r="G29" i="9" s="1"/>
  <c r="D28" i="9"/>
  <c r="D29" i="9" s="1"/>
  <c r="F22" i="9"/>
  <c r="G22" i="9" s="1"/>
  <c r="D22" i="9"/>
  <c r="F20" i="9"/>
  <c r="G20" i="9" s="1"/>
  <c r="F19" i="9"/>
  <c r="G19" i="9" s="1"/>
  <c r="F18" i="9"/>
  <c r="G18" i="9" s="1"/>
  <c r="D17" i="9"/>
  <c r="D14" i="9"/>
  <c r="C14" i="9"/>
  <c r="F13" i="9"/>
  <c r="G13" i="9" s="1"/>
  <c r="F12" i="9"/>
  <c r="G12" i="9" s="1"/>
  <c r="F11" i="9"/>
  <c r="G11" i="9" s="1"/>
  <c r="F10" i="9"/>
  <c r="G10" i="9" s="1"/>
  <c r="F9" i="9"/>
  <c r="G9" i="9" s="1"/>
  <c r="F8" i="9"/>
  <c r="G8" i="9" s="1"/>
  <c r="D66" i="9" l="1"/>
  <c r="F57" i="9"/>
  <c r="G57" i="9" s="1"/>
  <c r="D23" i="9"/>
  <c r="D25" i="9" s="1"/>
  <c r="F28" i="9"/>
  <c r="G28" i="9" s="1"/>
  <c r="F21" i="9"/>
  <c r="G21" i="9" s="1"/>
  <c r="F14" i="9"/>
  <c r="G14" i="9" s="1"/>
  <c r="C66" i="9"/>
  <c r="F66" i="9" s="1"/>
  <c r="G66" i="9" s="1"/>
  <c r="F45" i="9"/>
  <c r="G45" i="9" s="1"/>
  <c r="C23" i="9"/>
  <c r="C25" i="9" s="1"/>
  <c r="F17" i="9"/>
  <c r="G17" i="9" s="1"/>
  <c r="C31" i="9"/>
  <c r="F31" i="9" s="1"/>
  <c r="D31" i="9"/>
  <c r="D35" i="9" s="1"/>
  <c r="D68" i="9" s="1"/>
  <c r="D70" i="9" s="1"/>
  <c r="F64" i="9"/>
  <c r="G64" i="9" s="1"/>
  <c r="C33" i="9" l="1"/>
  <c r="F33" i="9" s="1"/>
  <c r="G33" i="9" s="1"/>
  <c r="F23" i="9"/>
  <c r="G23" i="9" s="1"/>
  <c r="C37" i="9"/>
  <c r="D37" i="9"/>
  <c r="G31" i="9"/>
  <c r="C68" i="9" l="1"/>
  <c r="F25" i="9"/>
  <c r="G25" i="9" s="1"/>
  <c r="F68" i="9" l="1"/>
  <c r="C70" i="9"/>
  <c r="F35" i="9"/>
  <c r="G35" i="9" s="1"/>
  <c r="F22" i="8" l="1"/>
  <c r="F21" i="8"/>
  <c r="G21" i="8" s="1"/>
  <c r="C23" i="8" l="1"/>
  <c r="B23" i="8"/>
  <c r="F8" i="8" l="1"/>
  <c r="G8" i="8" s="1"/>
  <c r="C14" i="8" l="1"/>
  <c r="B14" i="8"/>
  <c r="C31" i="8"/>
  <c r="D64" i="8" l="1"/>
  <c r="C64" i="8"/>
  <c r="B64" i="8"/>
  <c r="F63" i="8"/>
  <c r="G63" i="8" s="1"/>
  <c r="F62" i="8"/>
  <c r="G62" i="8" s="1"/>
  <c r="F61" i="8"/>
  <c r="G61" i="8" s="1"/>
  <c r="F60" i="8"/>
  <c r="G60" i="8" s="1"/>
  <c r="D57" i="8"/>
  <c r="C57" i="8"/>
  <c r="B57" i="8"/>
  <c r="F56" i="8"/>
  <c r="G56" i="8" s="1"/>
  <c r="F55" i="8"/>
  <c r="G55" i="8" s="1"/>
  <c r="F54" i="8"/>
  <c r="G54" i="8" s="1"/>
  <c r="F53" i="8"/>
  <c r="G53" i="8" s="1"/>
  <c r="F51" i="8"/>
  <c r="G51" i="8" s="1"/>
  <c r="F50" i="8"/>
  <c r="G50" i="8" s="1"/>
  <c r="F49" i="8"/>
  <c r="G49" i="8" s="1"/>
  <c r="F48" i="8"/>
  <c r="G48" i="8" s="1"/>
  <c r="C45" i="8"/>
  <c r="F44" i="8"/>
  <c r="G44" i="8" s="1"/>
  <c r="F43" i="8"/>
  <c r="G43" i="8" s="1"/>
  <c r="F42" i="8"/>
  <c r="G42" i="8" s="1"/>
  <c r="D41" i="8"/>
  <c r="D45" i="8" s="1"/>
  <c r="F30" i="8"/>
  <c r="G30" i="8" s="1"/>
  <c r="F29" i="8"/>
  <c r="G29" i="8" s="1"/>
  <c r="F28" i="8"/>
  <c r="G28" i="8" s="1"/>
  <c r="D28" i="8"/>
  <c r="B31" i="8"/>
  <c r="F31" i="8" s="1"/>
  <c r="D22" i="8"/>
  <c r="G22" i="8"/>
  <c r="F20" i="8"/>
  <c r="G20" i="8" s="1"/>
  <c r="F19" i="8"/>
  <c r="G19" i="8" s="1"/>
  <c r="F18" i="8"/>
  <c r="G18" i="8" s="1"/>
  <c r="D17" i="8"/>
  <c r="D14" i="8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B25" i="8" l="1"/>
  <c r="C25" i="8"/>
  <c r="D23" i="8"/>
  <c r="D25" i="8" s="1"/>
  <c r="F57" i="8"/>
  <c r="G57" i="8" s="1"/>
  <c r="D66" i="8"/>
  <c r="C66" i="8"/>
  <c r="F41" i="8"/>
  <c r="G41" i="8" s="1"/>
  <c r="B45" i="8"/>
  <c r="F45" i="8" s="1"/>
  <c r="G45" i="8" s="1"/>
  <c r="F64" i="8"/>
  <c r="G64" i="8" s="1"/>
  <c r="F17" i="8"/>
  <c r="D29" i="8"/>
  <c r="D31" i="8" s="1"/>
  <c r="C35" i="8" l="1"/>
  <c r="C33" i="8"/>
  <c r="B33" i="8"/>
  <c r="G17" i="8"/>
  <c r="F23" i="8"/>
  <c r="G23" i="8" s="1"/>
  <c r="B66" i="8"/>
  <c r="D35" i="8"/>
  <c r="D68" i="8" s="1"/>
  <c r="D70" i="8" s="1"/>
  <c r="G31" i="8"/>
  <c r="C68" i="8" l="1"/>
  <c r="C70" i="8" s="1"/>
  <c r="F33" i="8"/>
  <c r="G33" i="8" s="1"/>
  <c r="B68" i="8"/>
  <c r="B70" i="8" s="1"/>
  <c r="F25" i="8"/>
  <c r="F66" i="8"/>
  <c r="G66" i="8" s="1"/>
  <c r="D37" i="8"/>
  <c r="F68" i="8" l="1"/>
  <c r="G25" i="8"/>
  <c r="F35" i="8"/>
  <c r="G35" i="8" s="1"/>
  <c r="G68" i="8" l="1"/>
</calcChain>
</file>

<file path=xl/sharedStrings.xml><?xml version="1.0" encoding="utf-8"?>
<sst xmlns="http://schemas.openxmlformats.org/spreadsheetml/2006/main" count="533" uniqueCount="119">
  <si>
    <t>Mississippi State Port Authority at Gulfport</t>
  </si>
  <si>
    <t xml:space="preserve"> </t>
  </si>
  <si>
    <t>Maritime Services</t>
  </si>
  <si>
    <t>Wharfage</t>
  </si>
  <si>
    <t>Dockage</t>
  </si>
  <si>
    <t>Usage</t>
  </si>
  <si>
    <t>Harbor Fees</t>
  </si>
  <si>
    <t>Crane Rental</t>
  </si>
  <si>
    <t>Subtotal Maritime Services</t>
  </si>
  <si>
    <t>Other Maritime</t>
  </si>
  <si>
    <t>Linehandling</t>
  </si>
  <si>
    <t>Security Fees</t>
  </si>
  <si>
    <t>Reimbursables</t>
  </si>
  <si>
    <t>Subtotal Other Maritime</t>
  </si>
  <si>
    <t>Total Maritime Services</t>
  </si>
  <si>
    <t>Non-Maritime Services</t>
  </si>
  <si>
    <t>Island View - Base Lease</t>
  </si>
  <si>
    <t>Island View - Percentage Revenue</t>
  </si>
  <si>
    <t>Other Property Rental</t>
  </si>
  <si>
    <t>Total Non-Maritime Services</t>
  </si>
  <si>
    <t>Expenditures</t>
  </si>
  <si>
    <t>A.    Personnel Services</t>
  </si>
  <si>
    <t>Per Diem</t>
  </si>
  <si>
    <t>Travel</t>
  </si>
  <si>
    <t>Subtotal Personnel</t>
  </si>
  <si>
    <t>B.    Contractual Services</t>
  </si>
  <si>
    <t>Tuition &amp; Training</t>
  </si>
  <si>
    <t>Communications &amp; Utilities</t>
  </si>
  <si>
    <t>Advertising</t>
  </si>
  <si>
    <t>Rents</t>
  </si>
  <si>
    <t>Repairs &amp; Services</t>
  </si>
  <si>
    <t>Other Contractual Services</t>
  </si>
  <si>
    <t>Software &amp; IS Expenses</t>
  </si>
  <si>
    <t>Subtotal Contractual</t>
  </si>
  <si>
    <t>C.    Commodities</t>
  </si>
  <si>
    <t>Maintenance &amp; Construction</t>
  </si>
  <si>
    <t>Printing &amp; Office Supplies</t>
  </si>
  <si>
    <t>Equip. Repair Parts &amp; Supplies</t>
  </si>
  <si>
    <t>Other Supplies &amp; Materials</t>
  </si>
  <si>
    <t>Subtotal Commodities</t>
  </si>
  <si>
    <t>Operating Margin</t>
  </si>
  <si>
    <t>Salaries &amp; Fringes</t>
  </si>
  <si>
    <t>Gate Fees</t>
  </si>
  <si>
    <t>Leases</t>
  </si>
  <si>
    <t xml:space="preserve">Professional Fees &amp; Services </t>
  </si>
  <si>
    <t>Actual</t>
  </si>
  <si>
    <t>Difference</t>
  </si>
  <si>
    <t>$</t>
  </si>
  <si>
    <t>%</t>
  </si>
  <si>
    <t>Operating Revenues Excluding Chemours</t>
  </si>
  <si>
    <t>Total Expenditures Excluding Depreciation</t>
  </si>
  <si>
    <t>Budget</t>
  </si>
  <si>
    <t>Insurance</t>
  </si>
  <si>
    <t>(Excess Rev over Exp)/(Operating Revenue)</t>
  </si>
  <si>
    <t>For every $1 in sales, the MSPA earns $.451 cents</t>
  </si>
  <si>
    <t>Revenue and Expense Comparisons</t>
  </si>
  <si>
    <t>FY 2020</t>
  </si>
  <si>
    <t>Other Maritime - Chemours</t>
  </si>
  <si>
    <t>CPI</t>
  </si>
  <si>
    <t>% of Island View Rev to Operating  Rev (exclude Chemours)</t>
  </si>
  <si>
    <t>Excess Operating Rev. over Exp. Exclude Chemours</t>
  </si>
  <si>
    <t>TOTAL OPERATING REVENUE</t>
  </si>
  <si>
    <t>Operating Margin Exclude Chemours</t>
  </si>
  <si>
    <t>Exhibits &amp; displays</t>
  </si>
  <si>
    <t>July 1, 2020 - November 30, 2020</t>
  </si>
  <si>
    <t>FY 2021</t>
  </si>
  <si>
    <t>Tonnage (12.5%)</t>
  </si>
  <si>
    <t>Crown Castle, $1K TopS, CC</t>
  </si>
  <si>
    <t>Pd 480 hrs due to retirements</t>
  </si>
  <si>
    <t>FY20 Conferences and seminars</t>
  </si>
  <si>
    <t>FY21 - MS Power bill ($62K)</t>
  </si>
  <si>
    <t>FY 20 - Aquarium</t>
  </si>
  <si>
    <t>HW, parking, copiers</t>
  </si>
  <si>
    <t>FY20 - CC, WiFi shed 16, Security Gate painting</t>
  </si>
  <si>
    <t>FY21 - Legal ($312K)</t>
  </si>
  <si>
    <t>FY21 - Crane repairs and maintenance</t>
  </si>
  <si>
    <t>FY20 - Food $15K, FY21 - Food $.5K</t>
  </si>
  <si>
    <t>Revenue generated by Crowley</t>
  </si>
  <si>
    <t>Legal, CH2M Hill-Dredging</t>
  </si>
  <si>
    <t>Hurricane Zeta repairs</t>
  </si>
  <si>
    <t>(FY20-$825K McD)(FY21 $82K-Leidos, Mag Flt, Trn Serv)</t>
  </si>
  <si>
    <t>FY20-$98K Nor Goliath lay ($57K) &amp; Military ($41K)</t>
  </si>
  <si>
    <t>Budget 39 PINS - Current PINS 35</t>
  </si>
  <si>
    <t>Leidos, Magnolia Fleet, Turn Serv</t>
  </si>
  <si>
    <t>July 1, 2020 - December 31, 2020</t>
  </si>
  <si>
    <t>FY20-$98K for Nor Goliath lay=$57K &amp; Military=$41K</t>
  </si>
  <si>
    <t>(FY20-$1M McD)(FY21 $82K-Leidos, Mag Flt, Trn Serv)</t>
  </si>
  <si>
    <t>FY21 - Legal ($524K); FY21 Digital Zeta</t>
  </si>
  <si>
    <t>Tonnage (10.4%) in FY 21 vs 20</t>
  </si>
  <si>
    <t>Tonnage (10.4%) thru Dec</t>
  </si>
  <si>
    <t>6 less cargo vessels - Corona Virus</t>
  </si>
  <si>
    <t>Rail equip rental</t>
  </si>
  <si>
    <t>FY21-pd 480 hrs in retire &amp; 14 paydays vs 13 in FY20</t>
  </si>
  <si>
    <t>FY20 - Aquarium</t>
  </si>
  <si>
    <t>FY20 - CC, Wi-Fi shed 16, Security Gate painting</t>
  </si>
  <si>
    <t>Purchased CC May 2019</t>
  </si>
  <si>
    <t>FY20 - Food $17.1K, FY21 - Food $.8K</t>
  </si>
  <si>
    <t>July 1, 2020 - February 2021</t>
  </si>
  <si>
    <t>Tonnage (14.3%) thru Feb</t>
  </si>
  <si>
    <t>Based on dockage and loaded containers</t>
  </si>
  <si>
    <t>FY20-Nor Goliath $57K-Military $41K-Crowley $66K</t>
  </si>
  <si>
    <t>FY21-pd 480 hrs in retire</t>
  </si>
  <si>
    <t>Operating Margin Include Chemours</t>
  </si>
  <si>
    <t>Excess Operating Rev. over Exp. Include Chemours</t>
  </si>
  <si>
    <t>FY20 - Legal +$810K</t>
  </si>
  <si>
    <t>For every $1 in sales, the MSPA earns $.456 cents</t>
  </si>
  <si>
    <t>Sponsorships and Magazine ads</t>
  </si>
  <si>
    <t>Cranes</t>
  </si>
  <si>
    <t>Remarks</t>
  </si>
  <si>
    <t>(FY20-$1.4M McD)FY21 $152K-Leidos, Magnolia, Trn Serv</t>
  </si>
  <si>
    <t>FY 2022</t>
  </si>
  <si>
    <t>Operating Budget</t>
  </si>
  <si>
    <t>Excess Operating Revenue over Operating Expenses</t>
  </si>
  <si>
    <t>Approved LBO Budget</t>
  </si>
  <si>
    <t>TOTAL OPERATING EXPENSES</t>
  </si>
  <si>
    <t>FY 2023</t>
  </si>
  <si>
    <t>July 1, 2022 - June 30, 2023</t>
  </si>
  <si>
    <t>Estimated Actual</t>
  </si>
  <si>
    <t>Island View % of Operating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</si>
</sst>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</cellStyleXfs>
  <cellXfs count="108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center"/>
    </xf>
    <xf numFmtId="37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Fill="1"/>
    <xf numFmtId="164" fontId="3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164" fontId="3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5" fontId="4" fillId="0" borderId="0" xfId="3" applyNumberFormat="1" applyFont="1" applyFill="1"/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3" fillId="0" borderId="0" xfId="0" applyNumberFormat="1" applyFont="1"/>
    <xf numFmtId="9" fontId="3" fillId="0" borderId="0" xfId="3" applyFont="1"/>
    <xf numFmtId="164" fontId="7" fillId="0" borderId="0" xfId="0" applyNumberFormat="1" applyFont="1"/>
    <xf numFmtId="165" fontId="3" fillId="0" borderId="0" xfId="3" applyNumberFormat="1" applyFont="1"/>
    <xf numFmtId="165" fontId="8" fillId="0" borderId="0" xfId="3" applyNumberFormat="1" applyFont="1"/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9" fontId="3" fillId="0" borderId="0" xfId="3" applyFont="1" applyAlignment="1">
      <alignment vertical="center"/>
    </xf>
    <xf numFmtId="9" fontId="8" fillId="0" borderId="0" xfId="3" applyFont="1" applyAlignment="1">
      <alignment vertical="center"/>
    </xf>
    <xf numFmtId="9" fontId="9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 indent="2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165" fontId="4" fillId="0" borderId="0" xfId="3" applyNumberFormat="1" applyFont="1" applyFill="1" applyAlignment="1"/>
    <xf numFmtId="0" fontId="10" fillId="0" borderId="0" xfId="0" applyFont="1"/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left"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/>
    <xf numFmtId="164" fontId="7" fillId="0" borderId="0" xfId="1" applyNumberFormat="1" applyFont="1" applyAlignment="1"/>
    <xf numFmtId="164" fontId="6" fillId="0" borderId="0" xfId="1" applyNumberFormat="1" applyFont="1" applyFill="1" applyAlignment="1"/>
    <xf numFmtId="0" fontId="3" fillId="0" borderId="0" xfId="0" applyFont="1" applyAlignment="1"/>
    <xf numFmtId="164" fontId="7" fillId="0" borderId="0" xfId="0" applyNumberFormat="1" applyFont="1" applyAlignment="1"/>
    <xf numFmtId="164" fontId="11" fillId="0" borderId="0" xfId="1" applyNumberFormat="1" applyFont="1" applyFill="1" applyAlignment="1"/>
    <xf numFmtId="0" fontId="7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7" fillId="0" borderId="0" xfId="1" applyNumberFormat="1" applyFont="1"/>
    <xf numFmtId="164" fontId="7" fillId="0" borderId="0" xfId="1" applyNumberFormat="1" applyFont="1" applyFill="1"/>
    <xf numFmtId="0" fontId="3" fillId="0" borderId="0" xfId="0" quotePrefix="1" applyFont="1"/>
    <xf numFmtId="166" fontId="3" fillId="0" borderId="0" xfId="2" applyNumberFormat="1" applyFont="1" applyAlignment="1">
      <alignment vertical="center"/>
    </xf>
    <xf numFmtId="166" fontId="3" fillId="0" borderId="0" xfId="2" applyNumberFormat="1" applyFont="1" applyFill="1"/>
    <xf numFmtId="166" fontId="3" fillId="0" borderId="0" xfId="2" applyNumberFormat="1" applyFont="1"/>
    <xf numFmtId="166" fontId="4" fillId="0" borderId="0" xfId="2" applyNumberFormat="1" applyFont="1" applyFill="1"/>
    <xf numFmtId="166" fontId="8" fillId="0" borderId="0" xfId="2" applyNumberFormat="1" applyFont="1"/>
    <xf numFmtId="166" fontId="8" fillId="0" borderId="0" xfId="2" applyNumberFormat="1" applyFont="1" applyAlignment="1">
      <alignment horizontal="left" vertical="center" indent="2"/>
    </xf>
    <xf numFmtId="166" fontId="4" fillId="0" borderId="0" xfId="2" applyNumberFormat="1" applyFont="1" applyFill="1" applyBorder="1"/>
    <xf numFmtId="166" fontId="3" fillId="0" borderId="0" xfId="2" applyNumberFormat="1" applyFont="1" applyFill="1" applyBorder="1"/>
    <xf numFmtId="166" fontId="8" fillId="0" borderId="0" xfId="2" applyNumberFormat="1" applyFont="1" applyFill="1" applyBorder="1"/>
    <xf numFmtId="164" fontId="3" fillId="0" borderId="0" xfId="1" applyNumberFormat="1" applyFont="1" applyAlignment="1"/>
    <xf numFmtId="0" fontId="13" fillId="0" borderId="0" xfId="0" applyNumberFormat="1" applyFont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vertical="center"/>
    </xf>
    <xf numFmtId="166" fontId="8" fillId="0" borderId="0" xfId="2" applyNumberFormat="1" applyFont="1" applyAlignment="1">
      <alignment vertical="center"/>
    </xf>
    <xf numFmtId="0" fontId="8" fillId="0" borderId="1" xfId="0" applyFont="1" applyBorder="1" applyAlignment="1">
      <alignment horizontal="center"/>
    </xf>
    <xf numFmtId="165" fontId="8" fillId="0" borderId="0" xfId="3" applyNumberFormat="1" applyFont="1" applyFill="1" applyBorder="1"/>
    <xf numFmtId="166" fontId="8" fillId="0" borderId="0" xfId="0" applyNumberFormat="1" applyFont="1"/>
    <xf numFmtId="0" fontId="10" fillId="0" borderId="0" xfId="0" applyFont="1" applyFill="1"/>
    <xf numFmtId="0" fontId="5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/>
    <xf numFmtId="0" fontId="3" fillId="0" borderId="0" xfId="0" applyFont="1" applyFill="1" applyAlignment="1"/>
    <xf numFmtId="0" fontId="8" fillId="0" borderId="0" xfId="0" applyNumberFormat="1" applyFont="1" applyFill="1" applyAlignment="1">
      <alignment horizontal="left" vertical="center" indent="2"/>
    </xf>
    <xf numFmtId="0" fontId="5" fillId="0" borderId="0" xfId="0" applyNumberFormat="1" applyFont="1" applyFill="1" applyAlignment="1">
      <alignment horizontal="left" vertical="center"/>
    </xf>
    <xf numFmtId="164" fontId="5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/>
    <xf numFmtId="164" fontId="8" fillId="0" borderId="0" xfId="1" applyNumberFormat="1" applyFont="1" applyFill="1" applyAlignment="1">
      <alignment horizontal="left" vertical="center" indent="2"/>
    </xf>
    <xf numFmtId="166" fontId="8" fillId="0" borderId="0" xfId="2" applyNumberFormat="1" applyFont="1" applyFill="1" applyAlignment="1">
      <alignment horizontal="left" vertical="center" indent="2"/>
    </xf>
    <xf numFmtId="3" fontId="3" fillId="0" borderId="0" xfId="0" applyNumberFormat="1" applyFont="1" applyFill="1"/>
    <xf numFmtId="166" fontId="8" fillId="0" borderId="0" xfId="2" applyNumberFormat="1" applyFont="1" applyFill="1" applyAlignment="1">
      <alignment vertical="center"/>
    </xf>
    <xf numFmtId="164" fontId="4" fillId="0" borderId="0" xfId="1" applyNumberFormat="1" applyFont="1" applyFill="1" applyAlignment="1">
      <alignment horizontal="left" vertical="center"/>
    </xf>
    <xf numFmtId="0" fontId="7" fillId="0" borderId="0" xfId="0" applyFont="1" applyFill="1" applyAlignment="1"/>
    <xf numFmtId="166" fontId="8" fillId="0" borderId="0" xfId="0" applyNumberFormat="1" applyFont="1" applyFill="1"/>
    <xf numFmtId="164" fontId="3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/>
    <xf numFmtId="166" fontId="8" fillId="0" borderId="0" xfId="2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indent="1"/>
    </xf>
    <xf numFmtId="165" fontId="4" fillId="0" borderId="0" xfId="3" applyNumberFormat="1" applyFont="1" applyFill="1" applyAlignment="1">
      <alignment vertical="center"/>
    </xf>
    <xf numFmtId="166" fontId="4" fillId="0" borderId="0" xfId="2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Comma" xfId="1" builtinId="3"/>
    <cellStyle name="Comma 2" xfId="5" xr:uid="{2F8B0E87-4B74-4A84-8CEF-09D888A650FC}"/>
    <cellStyle name="Currency" xfId="2" builtinId="4"/>
    <cellStyle name="Currency 2" xfId="4" xr:uid="{60A4B1BB-0C4A-417B-B8DE-8929941829AF}"/>
    <cellStyle name="Normal" xfId="0" builtinId="0"/>
    <cellStyle name="Normal 2" xfId="6" xr:uid="{79A221DA-30C4-407E-A5C7-13962A1E5CAB}"/>
    <cellStyle name="Normal 2 3" xfId="7" xr:uid="{4978961E-5253-4E35-99BC-85831D1FB93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6CC6-F711-4C96-BA39-3B8CB7C2CD60}">
  <sheetPr>
    <pageSetUpPr fitToPage="1"/>
  </sheetPr>
  <dimension ref="A1:H8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 x14ac:dyDescent="0.25"/>
  <cols>
    <col min="1" max="1" width="36.5" style="1" customWidth="1"/>
    <col min="2" max="2" width="13.37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2.125" style="1" bestFit="1" customWidth="1"/>
    <col min="7" max="7" width="6" style="1" bestFit="1" customWidth="1"/>
    <col min="8" max="8" width="43.5" style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64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45</v>
      </c>
      <c r="D5" s="54"/>
      <c r="F5" s="106" t="s">
        <v>46</v>
      </c>
      <c r="G5" s="106"/>
    </row>
    <row r="6" spans="1:8" ht="15" customHeight="1" x14ac:dyDescent="0.25">
      <c r="A6" s="39"/>
      <c r="B6" s="52" t="s">
        <v>65</v>
      </c>
      <c r="C6" s="14" t="s">
        <v>56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1036214</v>
      </c>
      <c r="C8" s="59">
        <v>1233178</v>
      </c>
      <c r="D8" s="59">
        <v>1497206</v>
      </c>
      <c r="E8" s="60"/>
      <c r="F8" s="60">
        <f>B8-C8</f>
        <v>-196964</v>
      </c>
      <c r="G8" s="30">
        <f>F8/C8</f>
        <v>-0.16</v>
      </c>
      <c r="H8" s="1" t="s">
        <v>66</v>
      </c>
    </row>
    <row r="9" spans="1:8" ht="15" customHeight="1" x14ac:dyDescent="0.25">
      <c r="A9" s="22" t="s">
        <v>4</v>
      </c>
      <c r="B9" s="40">
        <v>388981</v>
      </c>
      <c r="C9" s="6">
        <v>524466</v>
      </c>
      <c r="D9" s="6">
        <v>454710</v>
      </c>
      <c r="F9" s="16">
        <f t="shared" ref="F9:F14" si="0">B9-C9</f>
        <v>-135485</v>
      </c>
      <c r="G9" s="30">
        <f t="shared" ref="G9:G66" si="1">F9/C9</f>
        <v>-0.26</v>
      </c>
      <c r="H9" s="1" t="s">
        <v>81</v>
      </c>
    </row>
    <row r="10" spans="1:8" ht="15" customHeight="1" x14ac:dyDescent="0.25">
      <c r="A10" s="22" t="s">
        <v>5</v>
      </c>
      <c r="B10" s="40">
        <v>180172</v>
      </c>
      <c r="C10" s="6">
        <v>205974</v>
      </c>
      <c r="D10" s="6">
        <v>219354</v>
      </c>
      <c r="F10" s="16">
        <f t="shared" si="0"/>
        <v>-25802</v>
      </c>
      <c r="G10" s="30">
        <f t="shared" si="1"/>
        <v>-0.13</v>
      </c>
    </row>
    <row r="11" spans="1:8" ht="15" customHeight="1" x14ac:dyDescent="0.25">
      <c r="A11" s="22" t="s">
        <v>6</v>
      </c>
      <c r="B11" s="40">
        <v>12717</v>
      </c>
      <c r="C11" s="6">
        <v>15864</v>
      </c>
      <c r="D11" s="6">
        <v>16995</v>
      </c>
      <c r="F11" s="16">
        <f t="shared" si="0"/>
        <v>-3147</v>
      </c>
      <c r="G11" s="30">
        <f t="shared" si="1"/>
        <v>-0.2</v>
      </c>
    </row>
    <row r="12" spans="1:8" ht="15" customHeight="1" x14ac:dyDescent="0.25">
      <c r="A12" s="22" t="s">
        <v>42</v>
      </c>
      <c r="B12" s="40">
        <v>24824</v>
      </c>
      <c r="C12" s="6">
        <v>30740</v>
      </c>
      <c r="D12" s="6">
        <v>40253</v>
      </c>
      <c r="F12" s="16">
        <f t="shared" si="0"/>
        <v>-5916</v>
      </c>
      <c r="G12" s="30">
        <f t="shared" si="1"/>
        <v>-0.19</v>
      </c>
    </row>
    <row r="13" spans="1:8" ht="17.25" x14ac:dyDescent="0.4">
      <c r="A13" s="22" t="s">
        <v>7</v>
      </c>
      <c r="B13" s="46">
        <v>329063</v>
      </c>
      <c r="C13" s="56">
        <v>417790</v>
      </c>
      <c r="D13" s="47">
        <v>572612</v>
      </c>
      <c r="E13" s="48"/>
      <c r="F13" s="18">
        <f t="shared" si="0"/>
        <v>-88727</v>
      </c>
      <c r="G13" s="32">
        <f t="shared" si="1"/>
        <v>-0.21</v>
      </c>
    </row>
    <row r="14" spans="1:8" ht="15" customHeight="1" x14ac:dyDescent="0.25">
      <c r="A14" s="35" t="s">
        <v>8</v>
      </c>
      <c r="B14" s="61">
        <f>SUM(B8:B13)</f>
        <v>1971971</v>
      </c>
      <c r="C14" s="61">
        <f>SUM(C8:C13)</f>
        <v>2428012</v>
      </c>
      <c r="D14" s="61">
        <f>SUM(D8:D13)</f>
        <v>2801130</v>
      </c>
      <c r="E14" s="60"/>
      <c r="F14" s="62">
        <f t="shared" si="0"/>
        <v>-456041</v>
      </c>
      <c r="G14" s="31">
        <f t="shared" si="1"/>
        <v>-0.19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1431043+85614</f>
        <v>1516657</v>
      </c>
      <c r="C17" s="6">
        <f>2230385+3193</f>
        <v>2233578</v>
      </c>
      <c r="D17" s="6">
        <f>1700438+102308</f>
        <v>1802746</v>
      </c>
      <c r="F17" s="16">
        <f>B17-C17</f>
        <v>-716921</v>
      </c>
      <c r="G17" s="30">
        <f t="shared" si="1"/>
        <v>-0.32</v>
      </c>
      <c r="H17" s="1" t="s">
        <v>80</v>
      </c>
    </row>
    <row r="18" spans="1:8" ht="15" customHeight="1" x14ac:dyDescent="0.25">
      <c r="A18" s="22" t="s">
        <v>10</v>
      </c>
      <c r="B18" s="40">
        <v>32152</v>
      </c>
      <c r="C18" s="6">
        <v>50396</v>
      </c>
      <c r="D18" s="6">
        <v>41973</v>
      </c>
      <c r="F18" s="16">
        <f t="shared" ref="F18:F22" si="2">B18-C18</f>
        <v>-18244</v>
      </c>
      <c r="G18" s="30">
        <f t="shared" si="1"/>
        <v>-0.36</v>
      </c>
    </row>
    <row r="19" spans="1:8" ht="15" customHeight="1" x14ac:dyDescent="0.25">
      <c r="A19" s="22" t="s">
        <v>11</v>
      </c>
      <c r="B19" s="40">
        <v>92230</v>
      </c>
      <c r="C19" s="6">
        <v>116043</v>
      </c>
      <c r="D19" s="6">
        <v>128054</v>
      </c>
      <c r="F19" s="16">
        <f t="shared" si="2"/>
        <v>-23813</v>
      </c>
      <c r="G19" s="30">
        <f t="shared" si="1"/>
        <v>-0.21</v>
      </c>
    </row>
    <row r="20" spans="1:8" ht="15" customHeight="1" x14ac:dyDescent="0.25">
      <c r="A20" s="22" t="s">
        <v>12</v>
      </c>
      <c r="B20" s="40">
        <v>559892</v>
      </c>
      <c r="C20" s="6">
        <v>570460</v>
      </c>
      <c r="D20" s="6">
        <v>220277</v>
      </c>
      <c r="F20" s="16">
        <f t="shared" si="2"/>
        <v>-10568</v>
      </c>
      <c r="G20" s="30">
        <f t="shared" si="1"/>
        <v>-0.02</v>
      </c>
      <c r="H20" s="57"/>
    </row>
    <row r="21" spans="1:8" ht="15" customHeight="1" x14ac:dyDescent="0.25">
      <c r="A21" s="22" t="s">
        <v>9</v>
      </c>
      <c r="B21" s="67">
        <f>2006.4+2602517-2586771</f>
        <v>17752</v>
      </c>
      <c r="C21" s="6">
        <f>1562+2547934-2529271</f>
        <v>20225</v>
      </c>
      <c r="D21" s="6"/>
      <c r="F21" s="16">
        <f t="shared" si="2"/>
        <v>-2473</v>
      </c>
      <c r="G21" s="30">
        <f t="shared" si="1"/>
        <v>-0.12</v>
      </c>
      <c r="H21" s="57"/>
    </row>
    <row r="22" spans="1:8" ht="17.25" x14ac:dyDescent="0.4">
      <c r="A22" s="22" t="s">
        <v>57</v>
      </c>
      <c r="B22" s="55">
        <v>2586771</v>
      </c>
      <c r="C22" s="56">
        <v>2529271</v>
      </c>
      <c r="D22" s="47">
        <f>1750+9363</f>
        <v>11113</v>
      </c>
      <c r="E22" s="48"/>
      <c r="F22" s="18">
        <f t="shared" si="2"/>
        <v>57500</v>
      </c>
      <c r="G22" s="32">
        <f t="shared" si="1"/>
        <v>0.02</v>
      </c>
    </row>
    <row r="23" spans="1:8" ht="15" customHeight="1" x14ac:dyDescent="0.25">
      <c r="A23" s="35" t="s">
        <v>13</v>
      </c>
      <c r="B23" s="61">
        <f>SUM(B17:B22)</f>
        <v>4805454</v>
      </c>
      <c r="C23" s="61">
        <f>SUM(C17:C22)</f>
        <v>5519973</v>
      </c>
      <c r="D23" s="61">
        <f>SUM(D17:D22)</f>
        <v>2204163</v>
      </c>
      <c r="E23" s="60"/>
      <c r="F23" s="61">
        <f>SUM(F17:F22)</f>
        <v>-714519</v>
      </c>
      <c r="G23" s="31">
        <f t="shared" si="1"/>
        <v>-0.13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6777425</v>
      </c>
      <c r="C25" s="61">
        <f>+C23+C14</f>
        <v>7947985</v>
      </c>
      <c r="D25" s="61">
        <f>+D23+D14</f>
        <v>5005293</v>
      </c>
      <c r="E25" s="60"/>
      <c r="F25" s="61">
        <f>+F23+F14</f>
        <v>-1170560</v>
      </c>
      <c r="G25" s="31">
        <f t="shared" si="1"/>
        <v>-0.15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v>573438</v>
      </c>
      <c r="C28" s="16">
        <v>562194</v>
      </c>
      <c r="D28" s="6">
        <f>(105271.83*6)-100000</f>
        <v>531631</v>
      </c>
      <c r="E28" s="4"/>
      <c r="F28" s="16">
        <f t="shared" ref="F28:F30" si="3">B28-C28</f>
        <v>11244</v>
      </c>
      <c r="G28" s="30">
        <f>F28/C28</f>
        <v>0.02</v>
      </c>
      <c r="H28" s="1" t="s">
        <v>58</v>
      </c>
    </row>
    <row r="29" spans="1:8" ht="15" customHeight="1" x14ac:dyDescent="0.25">
      <c r="A29" s="22" t="s">
        <v>17</v>
      </c>
      <c r="B29" s="40">
        <v>2814255</v>
      </c>
      <c r="C29" s="16">
        <v>2510434</v>
      </c>
      <c r="D29" s="6">
        <f>2743896-D28</f>
        <v>2212265</v>
      </c>
      <c r="F29" s="16">
        <f t="shared" si="3"/>
        <v>303821</v>
      </c>
      <c r="G29" s="30">
        <f>F29/C29</f>
        <v>0.12</v>
      </c>
    </row>
    <row r="30" spans="1:8" ht="17.25" x14ac:dyDescent="0.4">
      <c r="A30" s="22" t="s">
        <v>18</v>
      </c>
      <c r="B30" s="46">
        <v>73560</v>
      </c>
      <c r="C30" s="18">
        <v>68665</v>
      </c>
      <c r="D30" s="47">
        <v>19285</v>
      </c>
      <c r="E30" s="48"/>
      <c r="F30" s="18">
        <f t="shared" si="3"/>
        <v>4895</v>
      </c>
      <c r="G30" s="32">
        <f t="shared" si="1"/>
        <v>7.0000000000000007E-2</v>
      </c>
      <c r="H30" s="1" t="s">
        <v>67</v>
      </c>
    </row>
    <row r="31" spans="1:8" ht="15" customHeight="1" x14ac:dyDescent="0.25">
      <c r="A31" s="34" t="s">
        <v>19</v>
      </c>
      <c r="B31" s="61">
        <f>SUM(B28:B30)</f>
        <v>3461253</v>
      </c>
      <c r="C31" s="61">
        <f>SUM(C28:C30)</f>
        <v>3141293</v>
      </c>
      <c r="D31" s="61">
        <f>SUM(D28:D30)</f>
        <v>2763181</v>
      </c>
      <c r="E31" s="60"/>
      <c r="F31" s="62">
        <f>B31-C31</f>
        <v>319960</v>
      </c>
      <c r="G31" s="31">
        <f t="shared" si="1"/>
        <v>0.1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10238678</v>
      </c>
      <c r="C33" s="71">
        <f>C31+C25</f>
        <v>11089278</v>
      </c>
      <c r="D33" s="59"/>
      <c r="E33" s="60"/>
      <c r="F33" s="62">
        <f>B33-C33</f>
        <v>-850600</v>
      </c>
      <c r="G33" s="31">
        <f>F33/C33</f>
        <v>-0.08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(+B31+B25)-B22</f>
        <v>7651907</v>
      </c>
      <c r="C35" s="64">
        <f>(+C31+C25)-C22</f>
        <v>8560007</v>
      </c>
      <c r="D35" s="64">
        <f>+D31+D25</f>
        <v>7768474</v>
      </c>
      <c r="E35" s="65"/>
      <c r="F35" s="64">
        <f>+F31+F25-F22</f>
        <v>-908100</v>
      </c>
      <c r="G35" s="31">
        <f>F35/C35</f>
        <v>-0.11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0.443</v>
      </c>
      <c r="C37" s="20">
        <f>(C28+C29)/C35</f>
        <v>0.35899999999999999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1392089+3985</f>
        <v>1396074</v>
      </c>
      <c r="C41" s="59">
        <f>1438188+4727</f>
        <v>1442915</v>
      </c>
      <c r="D41" s="59">
        <f>1430463+17750</f>
        <v>1448213</v>
      </c>
      <c r="E41" s="60"/>
      <c r="F41" s="60">
        <f>B41-C41</f>
        <v>-46841</v>
      </c>
      <c r="G41" s="30">
        <f>F41/C41</f>
        <v>-0.03</v>
      </c>
      <c r="H41" s="57" t="s">
        <v>68</v>
      </c>
    </row>
    <row r="42" spans="1:8" ht="15" customHeight="1" x14ac:dyDescent="0.25">
      <c r="A42" s="22" t="s">
        <v>10</v>
      </c>
      <c r="B42" s="40">
        <v>31780</v>
      </c>
      <c r="C42" s="6">
        <v>38216</v>
      </c>
      <c r="D42" s="6">
        <v>37860</v>
      </c>
      <c r="F42" s="16">
        <f>B42-C42</f>
        <v>-6436</v>
      </c>
      <c r="G42" s="30">
        <f>F42/C42</f>
        <v>-0.17</v>
      </c>
    </row>
    <row r="43" spans="1:8" ht="15" customHeight="1" x14ac:dyDescent="0.25">
      <c r="A43" s="22" t="s">
        <v>22</v>
      </c>
      <c r="B43" s="40">
        <v>1960</v>
      </c>
      <c r="C43" s="6">
        <v>2600</v>
      </c>
      <c r="D43" s="6">
        <v>2520</v>
      </c>
      <c r="F43" s="16">
        <f t="shared" ref="F43:F66" si="4">B43-C43</f>
        <v>-640</v>
      </c>
      <c r="G43" s="30">
        <f t="shared" si="1"/>
        <v>-0.25</v>
      </c>
    </row>
    <row r="44" spans="1:8" ht="17.25" x14ac:dyDescent="0.4">
      <c r="A44" s="22" t="s">
        <v>23</v>
      </c>
      <c r="B44" s="46">
        <v>0</v>
      </c>
      <c r="C44" s="56">
        <v>52602</v>
      </c>
      <c r="D44" s="50">
        <v>29247</v>
      </c>
      <c r="E44" s="51"/>
      <c r="F44" s="49">
        <f t="shared" si="4"/>
        <v>-52602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1429814</v>
      </c>
      <c r="C45" s="61">
        <f>SUM(C41:C44)</f>
        <v>1536333</v>
      </c>
      <c r="D45" s="61">
        <f>SUM(D41:D44)</f>
        <v>1517840</v>
      </c>
      <c r="E45" s="60"/>
      <c r="F45" s="62">
        <f t="shared" si="4"/>
        <v>-106519</v>
      </c>
      <c r="G45" s="31">
        <f t="shared" si="1"/>
        <v>-7.0000000000000007E-2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1371</v>
      </c>
      <c r="C48" s="6">
        <v>20523</v>
      </c>
      <c r="D48" s="6">
        <v>10622</v>
      </c>
      <c r="F48" s="16">
        <f t="shared" si="4"/>
        <v>-19152</v>
      </c>
      <c r="G48" s="30">
        <f t="shared" si="1"/>
        <v>-0.93</v>
      </c>
      <c r="H48" s="1" t="s">
        <v>69</v>
      </c>
    </row>
    <row r="49" spans="1:8" ht="15" customHeight="1" x14ac:dyDescent="0.25">
      <c r="A49" s="22" t="s">
        <v>27</v>
      </c>
      <c r="B49" s="40">
        <v>683577</v>
      </c>
      <c r="C49" s="6">
        <v>752043</v>
      </c>
      <c r="D49" s="6">
        <v>577676</v>
      </c>
      <c r="F49" s="16">
        <f t="shared" si="4"/>
        <v>-68466</v>
      </c>
      <c r="G49" s="30">
        <f t="shared" si="1"/>
        <v>-0.09</v>
      </c>
      <c r="H49" s="1" t="s">
        <v>70</v>
      </c>
    </row>
    <row r="50" spans="1:8" ht="15" customHeight="1" x14ac:dyDescent="0.25">
      <c r="A50" s="22" t="s">
        <v>28</v>
      </c>
      <c r="B50" s="40">
        <v>4620</v>
      </c>
      <c r="C50" s="6">
        <v>539526</v>
      </c>
      <c r="D50" s="6">
        <v>54488</v>
      </c>
      <c r="F50" s="16">
        <f t="shared" si="4"/>
        <v>-534906</v>
      </c>
      <c r="G50" s="30">
        <f t="shared" si="1"/>
        <v>-0.99</v>
      </c>
      <c r="H50" s="1" t="s">
        <v>71</v>
      </c>
    </row>
    <row r="51" spans="1:8" ht="15" customHeight="1" x14ac:dyDescent="0.25">
      <c r="A51" s="22" t="s">
        <v>29</v>
      </c>
      <c r="B51" s="40">
        <v>141993</v>
      </c>
      <c r="C51" s="6">
        <v>136720</v>
      </c>
      <c r="D51" s="6">
        <v>170884</v>
      </c>
      <c r="F51" s="16">
        <f t="shared" si="4"/>
        <v>5273</v>
      </c>
      <c r="G51" s="30">
        <f t="shared" si="1"/>
        <v>0.04</v>
      </c>
      <c r="H51" s="1" t="s">
        <v>72</v>
      </c>
    </row>
    <row r="52" spans="1:8" ht="15" customHeight="1" x14ac:dyDescent="0.25">
      <c r="A52" s="22" t="s">
        <v>63</v>
      </c>
      <c r="B52" s="40">
        <v>0</v>
      </c>
      <c r="C52" s="6">
        <v>60</v>
      </c>
      <c r="D52" s="6"/>
      <c r="F52" s="16">
        <f t="shared" si="4"/>
        <v>-60</v>
      </c>
      <c r="G52" s="30">
        <v>1</v>
      </c>
    </row>
    <row r="53" spans="1:8" ht="15" customHeight="1" x14ac:dyDescent="0.25">
      <c r="A53" s="22" t="s">
        <v>30</v>
      </c>
      <c r="B53" s="40">
        <v>120248</v>
      </c>
      <c r="C53" s="6">
        <v>255327</v>
      </c>
      <c r="D53" s="6">
        <v>91440</v>
      </c>
      <c r="F53" s="16">
        <f t="shared" si="4"/>
        <v>-135079</v>
      </c>
      <c r="G53" s="30">
        <f t="shared" si="1"/>
        <v>-0.53</v>
      </c>
      <c r="H53" s="1" t="s">
        <v>73</v>
      </c>
    </row>
    <row r="54" spans="1:8" ht="15" customHeight="1" x14ac:dyDescent="0.25">
      <c r="A54" s="22" t="s">
        <v>44</v>
      </c>
      <c r="B54" s="40">
        <v>1220831</v>
      </c>
      <c r="C54" s="6">
        <v>1495290</v>
      </c>
      <c r="D54" s="6">
        <v>638264</v>
      </c>
      <c r="F54" s="16">
        <f t="shared" si="4"/>
        <v>-274459</v>
      </c>
      <c r="G54" s="30">
        <f t="shared" si="1"/>
        <v>-0.18</v>
      </c>
      <c r="H54" s="1" t="s">
        <v>74</v>
      </c>
    </row>
    <row r="55" spans="1:8" ht="15" customHeight="1" x14ac:dyDescent="0.25">
      <c r="A55" s="22" t="s">
        <v>31</v>
      </c>
      <c r="B55" s="40">
        <v>1947153</v>
      </c>
      <c r="C55" s="6">
        <v>1755489</v>
      </c>
      <c r="D55" s="6">
        <v>1938517</v>
      </c>
      <c r="F55" s="16">
        <f t="shared" si="4"/>
        <v>191664</v>
      </c>
      <c r="G55" s="30">
        <f t="shared" si="1"/>
        <v>0.11</v>
      </c>
      <c r="H55" s="1" t="s">
        <v>52</v>
      </c>
    </row>
    <row r="56" spans="1:8" ht="17.25" x14ac:dyDescent="0.4">
      <c r="A56" s="22" t="s">
        <v>32</v>
      </c>
      <c r="B56" s="46">
        <v>35979</v>
      </c>
      <c r="C56" s="56">
        <v>36387</v>
      </c>
      <c r="D56" s="50">
        <v>14273</v>
      </c>
      <c r="E56" s="51"/>
      <c r="F56" s="49">
        <f t="shared" si="4"/>
        <v>-408</v>
      </c>
      <c r="G56" s="32">
        <f t="shared" si="1"/>
        <v>-0.01</v>
      </c>
    </row>
    <row r="57" spans="1:8" ht="15" customHeight="1" x14ac:dyDescent="0.25">
      <c r="A57" s="35" t="s">
        <v>33</v>
      </c>
      <c r="B57" s="61">
        <f>SUM(B48:B56)</f>
        <v>4155772</v>
      </c>
      <c r="C57" s="61">
        <f>SUM(C48:C56)</f>
        <v>4991365</v>
      </c>
      <c r="D57" s="61">
        <f>SUM(D48:D56)</f>
        <v>3496164</v>
      </c>
      <c r="E57" s="60"/>
      <c r="F57" s="62">
        <f t="shared" si="4"/>
        <v>-835593</v>
      </c>
      <c r="G57" s="31">
        <f t="shared" si="1"/>
        <v>-0.17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12651</v>
      </c>
      <c r="C60" s="6">
        <v>19936</v>
      </c>
      <c r="D60" s="6">
        <v>3301</v>
      </c>
      <c r="F60" s="16">
        <f t="shared" si="4"/>
        <v>-7285</v>
      </c>
      <c r="G60" s="30">
        <f t="shared" si="1"/>
        <v>-0.37</v>
      </c>
    </row>
    <row r="61" spans="1:8" ht="15" customHeight="1" x14ac:dyDescent="0.25">
      <c r="A61" s="22" t="s">
        <v>36</v>
      </c>
      <c r="B61" s="40">
        <v>6709</v>
      </c>
      <c r="C61" s="6">
        <v>7652</v>
      </c>
      <c r="D61" s="6">
        <v>13427</v>
      </c>
      <c r="F61" s="16">
        <f t="shared" si="4"/>
        <v>-943</v>
      </c>
      <c r="G61" s="30">
        <f t="shared" si="1"/>
        <v>-0.12</v>
      </c>
    </row>
    <row r="62" spans="1:8" ht="15" customHeight="1" x14ac:dyDescent="0.25">
      <c r="A62" s="22" t="s">
        <v>37</v>
      </c>
      <c r="B62" s="40">
        <v>63730</v>
      </c>
      <c r="C62" s="6">
        <v>44601</v>
      </c>
      <c r="D62" s="6">
        <v>28946</v>
      </c>
      <c r="F62" s="16">
        <f t="shared" si="4"/>
        <v>19129</v>
      </c>
      <c r="G62" s="30">
        <f t="shared" si="1"/>
        <v>0.43</v>
      </c>
      <c r="H62" s="1" t="s">
        <v>75</v>
      </c>
    </row>
    <row r="63" spans="1:8" ht="17.25" x14ac:dyDescent="0.4">
      <c r="A63" s="22" t="s">
        <v>38</v>
      </c>
      <c r="B63" s="46">
        <v>56626</v>
      </c>
      <c r="C63" s="50">
        <v>76574</v>
      </c>
      <c r="D63" s="50">
        <v>50079</v>
      </c>
      <c r="E63" s="51"/>
      <c r="F63" s="49">
        <f t="shared" si="4"/>
        <v>-19948</v>
      </c>
      <c r="G63" s="32">
        <f t="shared" si="1"/>
        <v>-0.26</v>
      </c>
      <c r="H63" s="1" t="s">
        <v>76</v>
      </c>
    </row>
    <row r="64" spans="1:8" ht="15" customHeight="1" x14ac:dyDescent="0.25">
      <c r="A64" s="35" t="s">
        <v>39</v>
      </c>
      <c r="B64" s="61">
        <f>SUM(B60:B63)</f>
        <v>139716</v>
      </c>
      <c r="C64" s="61">
        <f>SUM(C60:C63)</f>
        <v>148763</v>
      </c>
      <c r="D64" s="61">
        <f>SUM(D60:D63)</f>
        <v>95753</v>
      </c>
      <c r="E64" s="60"/>
      <c r="F64" s="62">
        <f t="shared" si="4"/>
        <v>-9047</v>
      </c>
      <c r="G64" s="31">
        <f t="shared" si="1"/>
        <v>-0.06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5725302</v>
      </c>
      <c r="C66" s="61">
        <f>+C64+C57+C45</f>
        <v>6676461</v>
      </c>
      <c r="D66" s="61">
        <f>+D64+D57+D45</f>
        <v>5109757</v>
      </c>
      <c r="E66" s="59"/>
      <c r="F66" s="62">
        <f t="shared" si="4"/>
        <v>-951159</v>
      </c>
      <c r="G66" s="31">
        <f t="shared" si="1"/>
        <v>-0.14000000000000001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0"/>
    </row>
    <row r="68" spans="1:7" s="5" customFormat="1" ht="15" customHeight="1" x14ac:dyDescent="0.25">
      <c r="A68" s="69" t="s">
        <v>60</v>
      </c>
      <c r="B68" s="61">
        <f>B35-B66</f>
        <v>1926605</v>
      </c>
      <c r="C68" s="61">
        <f>C35-C66</f>
        <v>1883546</v>
      </c>
      <c r="D68" s="61">
        <f>D35-D66</f>
        <v>2658717</v>
      </c>
      <c r="E68" s="59"/>
      <c r="F68" s="61">
        <f>B68-C68</f>
        <v>43059</v>
      </c>
      <c r="G68" s="31">
        <f>F68/C68</f>
        <v>0.02</v>
      </c>
    </row>
    <row r="69" spans="1:7" ht="8.1" customHeight="1" x14ac:dyDescent="0.25">
      <c r="A69" s="22"/>
      <c r="B69" s="3"/>
      <c r="C69" s="3"/>
      <c r="D69" s="3"/>
      <c r="F69" s="16"/>
      <c r="G69" s="30"/>
    </row>
    <row r="70" spans="1:7" s="5" customFormat="1" ht="15" customHeight="1" x14ac:dyDescent="0.25">
      <c r="A70" s="27" t="s">
        <v>62</v>
      </c>
      <c r="B70" s="38">
        <f>B68/B35</f>
        <v>0.252</v>
      </c>
      <c r="C70" s="38">
        <f>C68/C35</f>
        <v>0.22</v>
      </c>
      <c r="D70" s="13">
        <f>+D68/D35</f>
        <v>0.34200000000000003</v>
      </c>
      <c r="F70" s="20"/>
      <c r="G70" s="30"/>
    </row>
    <row r="71" spans="1:7" ht="8.1" customHeight="1" x14ac:dyDescent="0.25">
      <c r="A71" s="22"/>
      <c r="G71" s="30"/>
    </row>
    <row r="72" spans="1:7" ht="15" customHeight="1" x14ac:dyDescent="0.25">
      <c r="A72" s="28"/>
      <c r="B72" s="66"/>
      <c r="C72" s="66"/>
      <c r="D72" s="62"/>
      <c r="E72" s="60"/>
      <c r="F72" s="62"/>
      <c r="G72" s="31"/>
    </row>
    <row r="73" spans="1:7" x14ac:dyDescent="0.25">
      <c r="A73" s="22"/>
      <c r="B73" s="40"/>
      <c r="G73" s="33"/>
    </row>
    <row r="74" spans="1:7" x14ac:dyDescent="0.25">
      <c r="A74" s="22"/>
      <c r="B74" s="40"/>
      <c r="G74" s="33"/>
    </row>
    <row r="75" spans="1:7" x14ac:dyDescent="0.25">
      <c r="A75" s="22"/>
      <c r="B75" s="40"/>
      <c r="G75" s="33"/>
    </row>
    <row r="76" spans="1:7" x14ac:dyDescent="0.25">
      <c r="A76" s="29" t="s">
        <v>40</v>
      </c>
      <c r="B76" s="44"/>
      <c r="C76" s="1" t="s">
        <v>53</v>
      </c>
      <c r="G76" s="33"/>
    </row>
    <row r="77" spans="1:7" x14ac:dyDescent="0.25">
      <c r="A77" s="22"/>
      <c r="B77" s="40"/>
      <c r="C77" s="1" t="s">
        <v>54</v>
      </c>
      <c r="G77" s="33"/>
    </row>
    <row r="78" spans="1:7" x14ac:dyDescent="0.25">
      <c r="A78" s="22"/>
      <c r="B78" s="40"/>
      <c r="G78" s="33"/>
    </row>
    <row r="79" spans="1:7" x14ac:dyDescent="0.25">
      <c r="B79" s="45"/>
      <c r="G79" s="33"/>
    </row>
    <row r="80" spans="1:7" x14ac:dyDescent="0.25">
      <c r="B80" s="45"/>
      <c r="C80" s="17"/>
      <c r="G80" s="33"/>
    </row>
    <row r="81" spans="2:2" x14ac:dyDescent="0.25">
      <c r="B81" s="45"/>
    </row>
    <row r="82" spans="2:2" x14ac:dyDescent="0.25">
      <c r="B82" s="45"/>
    </row>
  </sheetData>
  <mergeCells count="4">
    <mergeCell ref="A1:G1"/>
    <mergeCell ref="A2:G2"/>
    <mergeCell ref="A3:G3"/>
    <mergeCell ref="F5:G5"/>
  </mergeCells>
  <printOptions horizontalCentered="1" gridLines="1"/>
  <pageMargins left="0.25" right="0" top="0.25" bottom="0" header="0" footer="0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7DF9-3EF4-45A4-9537-A746DA8AEF86}">
  <sheetPr>
    <pageSetUpPr fitToPage="1"/>
  </sheetPr>
  <dimension ref="A1:H81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5" x14ac:dyDescent="0.25"/>
  <cols>
    <col min="1" max="1" width="36.5" style="1" customWidth="1"/>
    <col min="2" max="2" width="12.12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1.125" style="1" bestFit="1" customWidth="1"/>
    <col min="7" max="7" width="6.375" style="1" bestFit="1" customWidth="1"/>
    <col min="8" max="8" width="26.625" style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64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51</v>
      </c>
      <c r="D5" s="54"/>
      <c r="F5" s="106" t="s">
        <v>46</v>
      </c>
      <c r="G5" s="106"/>
    </row>
    <row r="6" spans="1:8" ht="15" customHeight="1" x14ac:dyDescent="0.25">
      <c r="A6" s="39"/>
      <c r="B6" s="52" t="s">
        <v>65</v>
      </c>
      <c r="C6" s="52" t="s">
        <v>65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1036214</v>
      </c>
      <c r="C8" s="59">
        <v>1055752</v>
      </c>
      <c r="D8" s="59">
        <v>1497206</v>
      </c>
      <c r="E8" s="60"/>
      <c r="F8" s="60">
        <f>B8-C8</f>
        <v>-19538</v>
      </c>
      <c r="G8" s="30">
        <f>F8/C8</f>
        <v>-0.02</v>
      </c>
    </row>
    <row r="9" spans="1:8" ht="15" customHeight="1" x14ac:dyDescent="0.25">
      <c r="A9" s="22" t="s">
        <v>4</v>
      </c>
      <c r="B9" s="40">
        <v>388981</v>
      </c>
      <c r="C9" s="6">
        <v>401105</v>
      </c>
      <c r="D9" s="6">
        <v>454710</v>
      </c>
      <c r="F9" s="16">
        <f t="shared" ref="F9:F14" si="0">B9-C9</f>
        <v>-12124</v>
      </c>
      <c r="G9" s="30">
        <f t="shared" ref="G9:G66" si="1">F9/C9</f>
        <v>-0.03</v>
      </c>
    </row>
    <row r="10" spans="1:8" ht="15" customHeight="1" x14ac:dyDescent="0.25">
      <c r="A10" s="22" t="s">
        <v>5</v>
      </c>
      <c r="B10" s="40">
        <v>180172</v>
      </c>
      <c r="C10" s="6">
        <v>185911</v>
      </c>
      <c r="D10" s="6">
        <v>219354</v>
      </c>
      <c r="F10" s="16">
        <f t="shared" si="0"/>
        <v>-5739</v>
      </c>
      <c r="G10" s="30">
        <f t="shared" si="1"/>
        <v>-0.03</v>
      </c>
    </row>
    <row r="11" spans="1:8" ht="15" customHeight="1" x14ac:dyDescent="0.25">
      <c r="A11" s="22" t="s">
        <v>6</v>
      </c>
      <c r="B11" s="40">
        <v>12717</v>
      </c>
      <c r="C11" s="6">
        <v>13202</v>
      </c>
      <c r="D11" s="6">
        <v>16995</v>
      </c>
      <c r="F11" s="16">
        <f t="shared" si="0"/>
        <v>-485</v>
      </c>
      <c r="G11" s="30">
        <f t="shared" si="1"/>
        <v>-0.04</v>
      </c>
    </row>
    <row r="12" spans="1:8" ht="15" customHeight="1" x14ac:dyDescent="0.25">
      <c r="A12" s="22" t="s">
        <v>42</v>
      </c>
      <c r="B12" s="40">
        <v>24824</v>
      </c>
      <c r="C12" s="6">
        <v>19705</v>
      </c>
      <c r="D12" s="6">
        <v>40253</v>
      </c>
      <c r="F12" s="16">
        <f t="shared" si="0"/>
        <v>5119</v>
      </c>
      <c r="G12" s="30">
        <f t="shared" si="1"/>
        <v>0.26</v>
      </c>
      <c r="H12" s="1" t="s">
        <v>77</v>
      </c>
    </row>
    <row r="13" spans="1:8" ht="17.25" x14ac:dyDescent="0.4">
      <c r="A13" s="22" t="s">
        <v>7</v>
      </c>
      <c r="B13" s="46">
        <v>329063</v>
      </c>
      <c r="C13" s="56">
        <v>363467</v>
      </c>
      <c r="D13" s="47">
        <v>572612</v>
      </c>
      <c r="E13" s="48"/>
      <c r="F13" s="18">
        <f t="shared" si="0"/>
        <v>-34404</v>
      </c>
      <c r="G13" s="32">
        <f t="shared" si="1"/>
        <v>-0.09</v>
      </c>
    </row>
    <row r="14" spans="1:8" ht="15" customHeight="1" x14ac:dyDescent="0.25">
      <c r="A14" s="35" t="s">
        <v>8</v>
      </c>
      <c r="B14" s="61">
        <f>SUM(B8:B13)</f>
        <v>1971971</v>
      </c>
      <c r="C14" s="61">
        <f>SUM(C8:C13)</f>
        <v>2039142</v>
      </c>
      <c r="D14" s="61">
        <f>SUM(D8:D13)</f>
        <v>2801130</v>
      </c>
      <c r="E14" s="60"/>
      <c r="F14" s="62">
        <f t="shared" si="0"/>
        <v>-67171</v>
      </c>
      <c r="G14" s="31">
        <f t="shared" si="1"/>
        <v>-0.03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1431043+85614</f>
        <v>1516657</v>
      </c>
      <c r="C17" s="6">
        <f>1429511+3196</f>
        <v>1432707</v>
      </c>
      <c r="D17" s="6">
        <f>1700438+102308</f>
        <v>1802746</v>
      </c>
      <c r="F17" s="16">
        <f>B17-C17</f>
        <v>83950</v>
      </c>
      <c r="G17" s="30">
        <f t="shared" si="1"/>
        <v>0.06</v>
      </c>
      <c r="H17" s="1" t="s">
        <v>83</v>
      </c>
    </row>
    <row r="18" spans="1:8" ht="15" customHeight="1" x14ac:dyDescent="0.25">
      <c r="A18" s="22" t="s">
        <v>10</v>
      </c>
      <c r="B18" s="40">
        <v>32152</v>
      </c>
      <c r="C18" s="6">
        <v>33009</v>
      </c>
      <c r="D18" s="6">
        <v>41973</v>
      </c>
      <c r="F18" s="16">
        <f t="shared" ref="F18:F22" si="2">B18-C18</f>
        <v>-857</v>
      </c>
      <c r="G18" s="30">
        <f t="shared" si="1"/>
        <v>-0.03</v>
      </c>
    </row>
    <row r="19" spans="1:8" ht="15" customHeight="1" x14ac:dyDescent="0.25">
      <c r="A19" s="22" t="s">
        <v>11</v>
      </c>
      <c r="B19" s="40">
        <v>92230</v>
      </c>
      <c r="C19" s="6">
        <v>99036</v>
      </c>
      <c r="D19" s="6">
        <v>128054</v>
      </c>
      <c r="F19" s="16">
        <f t="shared" si="2"/>
        <v>-6806</v>
      </c>
      <c r="G19" s="30">
        <f t="shared" si="1"/>
        <v>-7.0000000000000007E-2</v>
      </c>
    </row>
    <row r="20" spans="1:8" ht="15" customHeight="1" x14ac:dyDescent="0.25">
      <c r="A20" s="22" t="s">
        <v>12</v>
      </c>
      <c r="B20" s="40">
        <v>559892</v>
      </c>
      <c r="C20" s="6">
        <v>476404</v>
      </c>
      <c r="D20" s="6">
        <v>220277</v>
      </c>
      <c r="F20" s="16">
        <f t="shared" si="2"/>
        <v>83488</v>
      </c>
      <c r="G20" s="30">
        <f t="shared" si="1"/>
        <v>0.18</v>
      </c>
      <c r="H20" s="57"/>
    </row>
    <row r="21" spans="1:8" ht="15" customHeight="1" x14ac:dyDescent="0.25">
      <c r="A21" s="22" t="s">
        <v>9</v>
      </c>
      <c r="B21" s="67">
        <f>2006.4+2602517-2586771</f>
        <v>17752</v>
      </c>
      <c r="C21" s="6">
        <f>50981/12*5</f>
        <v>21242</v>
      </c>
      <c r="D21" s="6"/>
      <c r="F21" s="16">
        <f t="shared" si="2"/>
        <v>-3490</v>
      </c>
      <c r="G21" s="30">
        <f t="shared" si="1"/>
        <v>-0.16</v>
      </c>
      <c r="H21" s="57"/>
    </row>
    <row r="22" spans="1:8" ht="17.25" x14ac:dyDescent="0.4">
      <c r="A22" s="22" t="s">
        <v>57</v>
      </c>
      <c r="B22" s="55">
        <v>2586771</v>
      </c>
      <c r="C22" s="56">
        <f>4706889-C17-C18-C19-C20-C21</f>
        <v>2644491</v>
      </c>
      <c r="D22" s="47">
        <f>1750+9363</f>
        <v>11113</v>
      </c>
      <c r="E22" s="48"/>
      <c r="F22" s="18">
        <f t="shared" si="2"/>
        <v>-57720</v>
      </c>
      <c r="G22" s="32">
        <f t="shared" si="1"/>
        <v>-0.02</v>
      </c>
    </row>
    <row r="23" spans="1:8" ht="15" customHeight="1" x14ac:dyDescent="0.25">
      <c r="A23" s="35" t="s">
        <v>13</v>
      </c>
      <c r="B23" s="61">
        <f>SUM(B17:B22)</f>
        <v>4805454</v>
      </c>
      <c r="C23" s="61">
        <f>SUM(C17:C22)</f>
        <v>4706889</v>
      </c>
      <c r="D23" s="61">
        <f>SUM(D17:D22)</f>
        <v>2204163</v>
      </c>
      <c r="E23" s="60"/>
      <c r="F23" s="61">
        <f>SUM(F17:F22)</f>
        <v>98565</v>
      </c>
      <c r="G23" s="31">
        <f t="shared" si="1"/>
        <v>0.02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6777425</v>
      </c>
      <c r="C25" s="61">
        <f>+C23+C14</f>
        <v>6746031</v>
      </c>
      <c r="D25" s="61">
        <f>+D23+D14</f>
        <v>5005293</v>
      </c>
      <c r="E25" s="60"/>
      <c r="F25" s="61">
        <f>+F23+F14</f>
        <v>31394</v>
      </c>
      <c r="G25" s="31">
        <f t="shared" si="1"/>
        <v>0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v>573438</v>
      </c>
      <c r="C28" s="16">
        <v>573438</v>
      </c>
      <c r="D28" s="6">
        <f>(105271.83*6)-100000</f>
        <v>531631</v>
      </c>
      <c r="E28" s="4"/>
      <c r="F28" s="16">
        <f t="shared" ref="F28:F31" si="3">B28-C28</f>
        <v>0</v>
      </c>
      <c r="G28" s="30">
        <f t="shared" si="1"/>
        <v>0</v>
      </c>
    </row>
    <row r="29" spans="1:8" ht="15" customHeight="1" x14ac:dyDescent="0.25">
      <c r="A29" s="22" t="s">
        <v>17</v>
      </c>
      <c r="B29" s="40">
        <v>2814255</v>
      </c>
      <c r="C29" s="16">
        <f>1236233-573438-1</f>
        <v>662794</v>
      </c>
      <c r="D29" s="6">
        <f>2743896-D28</f>
        <v>2212265</v>
      </c>
      <c r="F29" s="16">
        <f t="shared" si="3"/>
        <v>2151461</v>
      </c>
      <c r="G29" s="30">
        <f t="shared" si="1"/>
        <v>3.25</v>
      </c>
    </row>
    <row r="30" spans="1:8" ht="17.25" x14ac:dyDescent="0.4">
      <c r="A30" s="22" t="s">
        <v>18</v>
      </c>
      <c r="B30" s="46">
        <v>73560</v>
      </c>
      <c r="C30" s="18">
        <v>67554</v>
      </c>
      <c r="D30" s="47">
        <v>19285</v>
      </c>
      <c r="E30" s="48"/>
      <c r="F30" s="18">
        <f t="shared" si="3"/>
        <v>6006</v>
      </c>
      <c r="G30" s="32">
        <f t="shared" si="1"/>
        <v>0.09</v>
      </c>
    </row>
    <row r="31" spans="1:8" ht="15" customHeight="1" x14ac:dyDescent="0.25">
      <c r="A31" s="34" t="s">
        <v>19</v>
      </c>
      <c r="B31" s="61">
        <f>SUM(B28:B30)</f>
        <v>3461253</v>
      </c>
      <c r="C31" s="61">
        <f>SUM(C28:C30)</f>
        <v>1303786</v>
      </c>
      <c r="D31" s="61">
        <f>SUM(D28:D30)</f>
        <v>2763181</v>
      </c>
      <c r="E31" s="60"/>
      <c r="F31" s="62">
        <f t="shared" si="3"/>
        <v>2157467</v>
      </c>
      <c r="G31" s="31">
        <f t="shared" si="1"/>
        <v>1.65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10238678</v>
      </c>
      <c r="C33" s="71">
        <f>C31+C25</f>
        <v>8049817</v>
      </c>
      <c r="D33" s="59"/>
      <c r="E33" s="60"/>
      <c r="F33" s="62">
        <f>B33-C33</f>
        <v>2188861</v>
      </c>
      <c r="G33" s="31">
        <f>F33/C33</f>
        <v>0.27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(+B31+B25)-B22</f>
        <v>7651907</v>
      </c>
      <c r="C35" s="64">
        <f>+C31+C25-C22</f>
        <v>5405326</v>
      </c>
      <c r="D35" s="64">
        <f>+D31+D25</f>
        <v>7768474</v>
      </c>
      <c r="E35" s="65"/>
      <c r="F35" s="64">
        <f>+F31+F25-F22</f>
        <v>2246581</v>
      </c>
      <c r="G35" s="31">
        <f>F35/C35</f>
        <v>0.42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0.443</v>
      </c>
      <c r="C37" s="20">
        <f>(C28+C29)/C35</f>
        <v>0.22900000000000001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1392089+3985</f>
        <v>1396074</v>
      </c>
      <c r="C41" s="59">
        <f>1661970+6875</f>
        <v>1668845</v>
      </c>
      <c r="D41" s="59">
        <f>1430463+17750</f>
        <v>1448213</v>
      </c>
      <c r="E41" s="60"/>
      <c r="F41" s="60">
        <f>B41-C41</f>
        <v>-272771</v>
      </c>
      <c r="G41" s="30">
        <f>F41/C41</f>
        <v>-0.16</v>
      </c>
      <c r="H41" s="57" t="s">
        <v>82</v>
      </c>
    </row>
    <row r="42" spans="1:8" ht="15" customHeight="1" x14ac:dyDescent="0.25">
      <c r="A42" s="22" t="s">
        <v>10</v>
      </c>
      <c r="B42" s="40">
        <v>31780</v>
      </c>
      <c r="C42" s="6">
        <v>40940</v>
      </c>
      <c r="D42" s="6">
        <v>37860</v>
      </c>
      <c r="F42" s="16">
        <f>B42-C42</f>
        <v>-9160</v>
      </c>
      <c r="G42" s="30">
        <f>F42/C42</f>
        <v>-0.22</v>
      </c>
    </row>
    <row r="43" spans="1:8" ht="15" customHeight="1" x14ac:dyDescent="0.25">
      <c r="A43" s="22" t="s">
        <v>22</v>
      </c>
      <c r="B43" s="40">
        <v>1960</v>
      </c>
      <c r="C43" s="6">
        <v>2565</v>
      </c>
      <c r="D43" s="6">
        <v>2520</v>
      </c>
      <c r="F43" s="16">
        <f t="shared" ref="F43:F66" si="4">B43-C43</f>
        <v>-605</v>
      </c>
      <c r="G43" s="30">
        <f t="shared" si="1"/>
        <v>-0.24</v>
      </c>
    </row>
    <row r="44" spans="1:8" ht="17.25" x14ac:dyDescent="0.4">
      <c r="A44" s="22" t="s">
        <v>23</v>
      </c>
      <c r="B44" s="46">
        <v>0</v>
      </c>
      <c r="C44" s="56">
        <v>31400</v>
      </c>
      <c r="D44" s="50">
        <v>29247</v>
      </c>
      <c r="E44" s="51"/>
      <c r="F44" s="49">
        <f t="shared" si="4"/>
        <v>-31400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1429814</v>
      </c>
      <c r="C45" s="61">
        <f>SUM(C41:C44)</f>
        <v>1743750</v>
      </c>
      <c r="D45" s="61">
        <f>SUM(D41:D44)</f>
        <v>1517840</v>
      </c>
      <c r="E45" s="60"/>
      <c r="F45" s="62">
        <f t="shared" si="4"/>
        <v>-313936</v>
      </c>
      <c r="G45" s="31">
        <f t="shared" si="1"/>
        <v>-0.18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1371</v>
      </c>
      <c r="C48" s="6">
        <v>15915</v>
      </c>
      <c r="D48" s="6">
        <v>10622</v>
      </c>
      <c r="F48" s="16">
        <f t="shared" si="4"/>
        <v>-14544</v>
      </c>
      <c r="G48" s="30">
        <f t="shared" si="1"/>
        <v>-0.91</v>
      </c>
    </row>
    <row r="49" spans="1:8" ht="15" customHeight="1" x14ac:dyDescent="0.25">
      <c r="A49" s="22" t="s">
        <v>27</v>
      </c>
      <c r="B49" s="40">
        <v>683577</v>
      </c>
      <c r="C49" s="6">
        <v>709175</v>
      </c>
      <c r="D49" s="6">
        <v>577676</v>
      </c>
      <c r="F49" s="16">
        <f t="shared" si="4"/>
        <v>-25598</v>
      </c>
      <c r="G49" s="30">
        <f t="shared" si="1"/>
        <v>-0.04</v>
      </c>
    </row>
    <row r="50" spans="1:8" ht="15" customHeight="1" x14ac:dyDescent="0.25">
      <c r="A50" s="22" t="s">
        <v>28</v>
      </c>
      <c r="B50" s="40">
        <v>4620</v>
      </c>
      <c r="C50" s="6">
        <v>41055</v>
      </c>
      <c r="D50" s="6">
        <v>54488</v>
      </c>
      <c r="F50" s="16">
        <f t="shared" si="4"/>
        <v>-36435</v>
      </c>
      <c r="G50" s="30">
        <f t="shared" si="1"/>
        <v>-0.89</v>
      </c>
    </row>
    <row r="51" spans="1:8" ht="15" customHeight="1" x14ac:dyDescent="0.25">
      <c r="A51" s="22" t="s">
        <v>29</v>
      </c>
      <c r="B51" s="40">
        <v>141993</v>
      </c>
      <c r="C51" s="6">
        <v>138180</v>
      </c>
      <c r="D51" s="6">
        <v>170884</v>
      </c>
      <c r="F51" s="16">
        <f t="shared" si="4"/>
        <v>3813</v>
      </c>
      <c r="G51" s="30">
        <f t="shared" si="1"/>
        <v>0.03</v>
      </c>
    </row>
    <row r="52" spans="1:8" ht="15" customHeight="1" x14ac:dyDescent="0.25">
      <c r="A52" s="22" t="s">
        <v>63</v>
      </c>
      <c r="B52" s="40">
        <v>0</v>
      </c>
      <c r="C52" s="6">
        <v>2500</v>
      </c>
      <c r="D52" s="6"/>
      <c r="F52" s="16">
        <f t="shared" si="4"/>
        <v>-2500</v>
      </c>
      <c r="G52" s="30">
        <v>1</v>
      </c>
    </row>
    <row r="53" spans="1:8" ht="15" customHeight="1" x14ac:dyDescent="0.25">
      <c r="A53" s="22" t="s">
        <v>30</v>
      </c>
      <c r="B53" s="40">
        <v>120248</v>
      </c>
      <c r="C53" s="6">
        <v>66885</v>
      </c>
      <c r="D53" s="6">
        <v>91440</v>
      </c>
      <c r="F53" s="16">
        <f t="shared" si="4"/>
        <v>53363</v>
      </c>
      <c r="G53" s="30">
        <f t="shared" si="1"/>
        <v>0.8</v>
      </c>
      <c r="H53" s="1" t="s">
        <v>79</v>
      </c>
    </row>
    <row r="54" spans="1:8" ht="15" customHeight="1" x14ac:dyDescent="0.25">
      <c r="A54" s="22" t="s">
        <v>44</v>
      </c>
      <c r="B54" s="40">
        <v>1220831</v>
      </c>
      <c r="C54" s="6">
        <v>1817550</v>
      </c>
      <c r="D54" s="6">
        <v>638264</v>
      </c>
      <c r="F54" s="16">
        <f t="shared" si="4"/>
        <v>-596719</v>
      </c>
      <c r="G54" s="30">
        <f t="shared" si="1"/>
        <v>-0.33</v>
      </c>
      <c r="H54" s="57" t="s">
        <v>78</v>
      </c>
    </row>
    <row r="55" spans="1:8" ht="15" customHeight="1" x14ac:dyDescent="0.25">
      <c r="A55" s="22" t="s">
        <v>31</v>
      </c>
      <c r="B55" s="40">
        <v>1947153</v>
      </c>
      <c r="C55" s="6">
        <v>1862935</v>
      </c>
      <c r="D55" s="6">
        <v>1938517</v>
      </c>
      <c r="F55" s="16">
        <f t="shared" si="4"/>
        <v>84218</v>
      </c>
      <c r="G55" s="30">
        <f t="shared" si="1"/>
        <v>0.05</v>
      </c>
      <c r="H55" s="1" t="s">
        <v>52</v>
      </c>
    </row>
    <row r="56" spans="1:8" ht="17.25" x14ac:dyDescent="0.4">
      <c r="A56" s="22" t="s">
        <v>32</v>
      </c>
      <c r="B56" s="46">
        <v>35979</v>
      </c>
      <c r="C56" s="56">
        <v>41455</v>
      </c>
      <c r="D56" s="50">
        <v>14273</v>
      </c>
      <c r="E56" s="51"/>
      <c r="F56" s="49">
        <f t="shared" si="4"/>
        <v>-5476</v>
      </c>
      <c r="G56" s="32">
        <f t="shared" si="1"/>
        <v>-0.13</v>
      </c>
    </row>
    <row r="57" spans="1:8" ht="15" customHeight="1" x14ac:dyDescent="0.25">
      <c r="A57" s="35" t="s">
        <v>33</v>
      </c>
      <c r="B57" s="61">
        <f>SUM(B48:B56)</f>
        <v>4155772</v>
      </c>
      <c r="C57" s="61">
        <f>SUM(C48:C56)</f>
        <v>4695650</v>
      </c>
      <c r="D57" s="61">
        <f>SUM(D48:D56)</f>
        <v>3496164</v>
      </c>
      <c r="E57" s="60"/>
      <c r="F57" s="62">
        <f t="shared" si="4"/>
        <v>-539878</v>
      </c>
      <c r="G57" s="31">
        <f t="shared" si="1"/>
        <v>-0.11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12651</v>
      </c>
      <c r="C60" s="6">
        <v>22045</v>
      </c>
      <c r="D60" s="6">
        <v>3301</v>
      </c>
      <c r="F60" s="16">
        <f t="shared" si="4"/>
        <v>-9394</v>
      </c>
      <c r="G60" s="30">
        <f t="shared" si="1"/>
        <v>-0.43</v>
      </c>
    </row>
    <row r="61" spans="1:8" ht="15" customHeight="1" x14ac:dyDescent="0.25">
      <c r="A61" s="22" t="s">
        <v>36</v>
      </c>
      <c r="B61" s="40">
        <v>6709</v>
      </c>
      <c r="C61" s="6">
        <v>9455</v>
      </c>
      <c r="D61" s="6">
        <v>13427</v>
      </c>
      <c r="F61" s="16">
        <f t="shared" si="4"/>
        <v>-2746</v>
      </c>
      <c r="G61" s="30">
        <f t="shared" si="1"/>
        <v>-0.28999999999999998</v>
      </c>
    </row>
    <row r="62" spans="1:8" ht="15" customHeight="1" x14ac:dyDescent="0.25">
      <c r="A62" s="22" t="s">
        <v>37</v>
      </c>
      <c r="B62" s="40">
        <v>63730</v>
      </c>
      <c r="C62" s="6">
        <v>46750</v>
      </c>
      <c r="D62" s="6">
        <v>28946</v>
      </c>
      <c r="F62" s="16">
        <f t="shared" si="4"/>
        <v>16980</v>
      </c>
      <c r="G62" s="30">
        <f t="shared" si="1"/>
        <v>0.36</v>
      </c>
    </row>
    <row r="63" spans="1:8" ht="17.25" x14ac:dyDescent="0.4">
      <c r="A63" s="22" t="s">
        <v>38</v>
      </c>
      <c r="B63" s="46">
        <v>56626</v>
      </c>
      <c r="C63" s="50">
        <v>66200</v>
      </c>
      <c r="D63" s="50">
        <v>50079</v>
      </c>
      <c r="E63" s="51"/>
      <c r="F63" s="49">
        <f t="shared" si="4"/>
        <v>-9574</v>
      </c>
      <c r="G63" s="32">
        <f t="shared" si="1"/>
        <v>-0.14000000000000001</v>
      </c>
    </row>
    <row r="64" spans="1:8" ht="15" customHeight="1" x14ac:dyDescent="0.25">
      <c r="A64" s="35" t="s">
        <v>39</v>
      </c>
      <c r="B64" s="61">
        <f>SUM(B60:B63)</f>
        <v>139716</v>
      </c>
      <c r="C64" s="61">
        <f>SUM(C60:C63)</f>
        <v>144450</v>
      </c>
      <c r="D64" s="61">
        <f>SUM(D60:D63)</f>
        <v>95753</v>
      </c>
      <c r="E64" s="60"/>
      <c r="F64" s="62">
        <f t="shared" si="4"/>
        <v>-4734</v>
      </c>
      <c r="G64" s="31">
        <f t="shared" si="1"/>
        <v>-0.03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5725302</v>
      </c>
      <c r="C66" s="61">
        <f>+C64+C57+C45</f>
        <v>6583850</v>
      </c>
      <c r="D66" s="61">
        <f>+D64+D57+D45</f>
        <v>5109757</v>
      </c>
      <c r="E66" s="59"/>
      <c r="F66" s="62">
        <f t="shared" si="4"/>
        <v>-858548</v>
      </c>
      <c r="G66" s="31">
        <f t="shared" si="1"/>
        <v>-0.13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0"/>
    </row>
    <row r="68" spans="1:7" s="5" customFormat="1" ht="15" customHeight="1" x14ac:dyDescent="0.25">
      <c r="A68" s="69" t="s">
        <v>60</v>
      </c>
      <c r="B68" s="61">
        <f>B35-B66</f>
        <v>1926605</v>
      </c>
      <c r="C68" s="61">
        <f>C35-C66</f>
        <v>-1178524</v>
      </c>
      <c r="D68" s="61">
        <f>D35-D66</f>
        <v>2658717</v>
      </c>
      <c r="E68" s="59"/>
      <c r="F68" s="61">
        <f>B68-C68</f>
        <v>3105129</v>
      </c>
      <c r="G68" s="31">
        <f>-F68/C68</f>
        <v>2.63</v>
      </c>
    </row>
    <row r="69" spans="1:7" ht="8.1" customHeight="1" x14ac:dyDescent="0.25">
      <c r="A69" s="22"/>
      <c r="B69" s="3"/>
      <c r="C69" s="3"/>
      <c r="D69" s="3"/>
      <c r="F69" s="16"/>
      <c r="G69" s="30"/>
    </row>
    <row r="70" spans="1:7" s="5" customFormat="1" ht="15" customHeight="1" x14ac:dyDescent="0.25">
      <c r="A70" s="27" t="s">
        <v>62</v>
      </c>
      <c r="B70" s="38">
        <f>B68/B35</f>
        <v>0.252</v>
      </c>
      <c r="C70" s="38">
        <f>C68/C35</f>
        <v>-0.218</v>
      </c>
      <c r="D70" s="13">
        <f>+D68/D35</f>
        <v>0.34200000000000003</v>
      </c>
      <c r="F70" s="20"/>
      <c r="G70" s="30"/>
    </row>
    <row r="71" spans="1:7" ht="8.1" customHeight="1" x14ac:dyDescent="0.25">
      <c r="A71" s="22"/>
      <c r="G71" s="30"/>
    </row>
    <row r="72" spans="1:7" x14ac:dyDescent="0.25">
      <c r="A72" s="22"/>
      <c r="B72" s="40"/>
      <c r="G72" s="33"/>
    </row>
    <row r="73" spans="1:7" x14ac:dyDescent="0.25">
      <c r="A73" s="22"/>
      <c r="B73" s="40"/>
      <c r="G73" s="33"/>
    </row>
    <row r="74" spans="1:7" x14ac:dyDescent="0.25">
      <c r="A74" s="22"/>
      <c r="B74" s="40"/>
      <c r="G74" s="33"/>
    </row>
    <row r="75" spans="1:7" x14ac:dyDescent="0.25">
      <c r="A75" s="29" t="s">
        <v>40</v>
      </c>
      <c r="B75" s="44"/>
      <c r="C75" s="1" t="s">
        <v>53</v>
      </c>
      <c r="G75" s="33"/>
    </row>
    <row r="76" spans="1:7" x14ac:dyDescent="0.25">
      <c r="A76" s="22"/>
      <c r="B76" s="40"/>
      <c r="C76" s="1" t="s">
        <v>54</v>
      </c>
      <c r="G76" s="33"/>
    </row>
    <row r="77" spans="1:7" x14ac:dyDescent="0.25">
      <c r="A77" s="22"/>
      <c r="B77" s="40"/>
      <c r="G77" s="33"/>
    </row>
    <row r="78" spans="1:7" x14ac:dyDescent="0.25">
      <c r="B78" s="45"/>
      <c r="G78" s="33"/>
    </row>
    <row r="79" spans="1:7" x14ac:dyDescent="0.25">
      <c r="B79" s="45"/>
      <c r="C79" s="17"/>
      <c r="G79" s="33"/>
    </row>
    <row r="80" spans="1:7" x14ac:dyDescent="0.25">
      <c r="B80" s="45"/>
    </row>
    <row r="81" spans="2:2" x14ac:dyDescent="0.25">
      <c r="B81" s="45"/>
    </row>
  </sheetData>
  <mergeCells count="4">
    <mergeCell ref="A1:G1"/>
    <mergeCell ref="A2:G2"/>
    <mergeCell ref="A3:G3"/>
    <mergeCell ref="F5:G5"/>
  </mergeCells>
  <printOptions gridLines="1"/>
  <pageMargins left="0" right="0" top="0.5" bottom="0.25" header="0" footer="0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845A-C24B-495A-BDBC-EEDC1D9AEE1C}">
  <sheetPr>
    <pageSetUpPr fitToPage="1"/>
  </sheetPr>
  <dimension ref="A1:H82"/>
  <sheetViews>
    <sheetView workbookViewId="0">
      <pane xSplit="1" ySplit="7" topLeftCell="B40" activePane="bottomRight" state="frozen"/>
      <selection pane="topRight" activeCell="B1" sqref="B1"/>
      <selection pane="bottomLeft" activeCell="A8" sqref="A8"/>
      <selection pane="bottomRight" sqref="A1:XFD1048576"/>
    </sheetView>
  </sheetViews>
  <sheetFormatPr defaultRowHeight="15" x14ac:dyDescent="0.25"/>
  <cols>
    <col min="1" max="1" width="36.5" style="1" customWidth="1"/>
    <col min="2" max="2" width="13.37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1.75" style="1" bestFit="1" customWidth="1"/>
    <col min="7" max="7" width="6" style="1" bestFit="1" customWidth="1"/>
    <col min="8" max="8" width="42.25" style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84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45</v>
      </c>
      <c r="D5" s="54"/>
      <c r="F5" s="106" t="s">
        <v>46</v>
      </c>
      <c r="G5" s="106"/>
    </row>
    <row r="6" spans="1:8" ht="15" customHeight="1" x14ac:dyDescent="0.25">
      <c r="A6" s="39"/>
      <c r="B6" s="52" t="s">
        <v>65</v>
      </c>
      <c r="C6" s="14" t="s">
        <v>56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1208361</v>
      </c>
      <c r="C8" s="59">
        <v>1398127</v>
      </c>
      <c r="D8" s="59">
        <v>1497206</v>
      </c>
      <c r="E8" s="60"/>
      <c r="F8" s="60">
        <f>B8-C8</f>
        <v>-189766</v>
      </c>
      <c r="G8" s="30">
        <f>F8/C8</f>
        <v>-0.14000000000000001</v>
      </c>
    </row>
    <row r="9" spans="1:8" ht="15" customHeight="1" x14ac:dyDescent="0.25">
      <c r="A9" s="22" t="s">
        <v>4</v>
      </c>
      <c r="B9" s="40">
        <v>452840</v>
      </c>
      <c r="C9" s="6">
        <v>599711</v>
      </c>
      <c r="D9" s="6">
        <v>454710</v>
      </c>
      <c r="F9" s="16">
        <f t="shared" ref="F9:F14" si="0">B9-C9</f>
        <v>-146871</v>
      </c>
      <c r="G9" s="30">
        <f t="shared" ref="G9:G66" si="1">F9/C9</f>
        <v>-0.24</v>
      </c>
      <c r="H9" s="1" t="s">
        <v>85</v>
      </c>
    </row>
    <row r="10" spans="1:8" ht="15" customHeight="1" x14ac:dyDescent="0.25">
      <c r="A10" s="22" t="s">
        <v>5</v>
      </c>
      <c r="B10" s="40">
        <v>214191</v>
      </c>
      <c r="C10" s="6">
        <v>239111</v>
      </c>
      <c r="D10" s="6">
        <v>219354</v>
      </c>
      <c r="F10" s="16">
        <f t="shared" si="0"/>
        <v>-24920</v>
      </c>
      <c r="G10" s="30">
        <f t="shared" si="1"/>
        <v>-0.1</v>
      </c>
    </row>
    <row r="11" spans="1:8" ht="15" customHeight="1" x14ac:dyDescent="0.25">
      <c r="A11" s="22" t="s">
        <v>6</v>
      </c>
      <c r="B11" s="40">
        <v>15084</v>
      </c>
      <c r="C11" s="6">
        <v>18103</v>
      </c>
      <c r="D11" s="6">
        <v>16995</v>
      </c>
      <c r="F11" s="16">
        <f t="shared" si="0"/>
        <v>-3019</v>
      </c>
      <c r="G11" s="30">
        <f t="shared" si="1"/>
        <v>-0.17</v>
      </c>
    </row>
    <row r="12" spans="1:8" ht="15" customHeight="1" x14ac:dyDescent="0.25">
      <c r="A12" s="22" t="s">
        <v>42</v>
      </c>
      <c r="B12" s="40">
        <v>30436</v>
      </c>
      <c r="C12" s="6">
        <v>36350</v>
      </c>
      <c r="D12" s="6">
        <v>40253</v>
      </c>
      <c r="F12" s="16">
        <f t="shared" si="0"/>
        <v>-5914</v>
      </c>
      <c r="G12" s="30">
        <f t="shared" si="1"/>
        <v>-0.16</v>
      </c>
    </row>
    <row r="13" spans="1:8" ht="17.25" x14ac:dyDescent="0.4">
      <c r="A13" s="22" t="s">
        <v>7</v>
      </c>
      <c r="B13" s="46">
        <v>390825</v>
      </c>
      <c r="C13" s="56">
        <v>498347</v>
      </c>
      <c r="D13" s="47">
        <v>572612</v>
      </c>
      <c r="E13" s="48"/>
      <c r="F13" s="18">
        <f t="shared" si="0"/>
        <v>-107522</v>
      </c>
      <c r="G13" s="32">
        <f t="shared" si="1"/>
        <v>-0.22</v>
      </c>
      <c r="H13" s="1" t="s">
        <v>90</v>
      </c>
    </row>
    <row r="14" spans="1:8" ht="15" customHeight="1" x14ac:dyDescent="0.25">
      <c r="A14" s="35" t="s">
        <v>8</v>
      </c>
      <c r="B14" s="61">
        <f>SUM(B8:B13)</f>
        <v>2311737</v>
      </c>
      <c r="C14" s="61">
        <f>SUM(C8:C13)</f>
        <v>2789749</v>
      </c>
      <c r="D14" s="61">
        <f>SUM(D8:D13)</f>
        <v>2801130</v>
      </c>
      <c r="E14" s="60"/>
      <c r="F14" s="62">
        <f t="shared" si="0"/>
        <v>-478012</v>
      </c>
      <c r="G14" s="31">
        <f t="shared" si="1"/>
        <v>-0.17</v>
      </c>
      <c r="H14" s="1" t="s">
        <v>89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1717394+111284</f>
        <v>1828678</v>
      </c>
      <c r="C17" s="6">
        <f>2687738+3831</f>
        <v>2691569</v>
      </c>
      <c r="D17" s="6">
        <f>1700438+102308</f>
        <v>1802746</v>
      </c>
      <c r="F17" s="16">
        <f>B17-C17</f>
        <v>-862891</v>
      </c>
      <c r="G17" s="30">
        <f t="shared" si="1"/>
        <v>-0.32</v>
      </c>
      <c r="H17" s="1" t="s">
        <v>86</v>
      </c>
    </row>
    <row r="18" spans="1:8" ht="15" customHeight="1" x14ac:dyDescent="0.25">
      <c r="A18" s="22" t="s">
        <v>10</v>
      </c>
      <c r="B18" s="40">
        <v>36662</v>
      </c>
      <c r="C18" s="6">
        <v>55808</v>
      </c>
      <c r="D18" s="6">
        <v>41973</v>
      </c>
      <c r="F18" s="16">
        <f t="shared" ref="F18:F22" si="2">B18-C18</f>
        <v>-19146</v>
      </c>
      <c r="G18" s="30">
        <f t="shared" si="1"/>
        <v>-0.34</v>
      </c>
    </row>
    <row r="19" spans="1:8" ht="15" customHeight="1" x14ac:dyDescent="0.25">
      <c r="A19" s="22" t="s">
        <v>11</v>
      </c>
      <c r="B19" s="40">
        <v>111771</v>
      </c>
      <c r="C19" s="6">
        <v>134242</v>
      </c>
      <c r="D19" s="6">
        <v>128054</v>
      </c>
      <c r="F19" s="16">
        <f t="shared" si="2"/>
        <v>-22471</v>
      </c>
      <c r="G19" s="30">
        <f t="shared" si="1"/>
        <v>-0.17</v>
      </c>
    </row>
    <row r="20" spans="1:8" ht="15" customHeight="1" x14ac:dyDescent="0.25">
      <c r="A20" s="22" t="s">
        <v>12</v>
      </c>
      <c r="B20" s="40">
        <v>655879</v>
      </c>
      <c r="C20" s="6">
        <v>660470</v>
      </c>
      <c r="D20" s="6">
        <v>220277</v>
      </c>
      <c r="F20" s="16">
        <f t="shared" si="2"/>
        <v>-4591</v>
      </c>
      <c r="G20" s="30">
        <f t="shared" si="1"/>
        <v>-0.01</v>
      </c>
      <c r="H20" s="57"/>
    </row>
    <row r="21" spans="1:8" ht="15" customHeight="1" x14ac:dyDescent="0.25">
      <c r="A21" s="22" t="s">
        <v>9</v>
      </c>
      <c r="B21" s="67">
        <f>2239+3124825-3107038</f>
        <v>20026</v>
      </c>
      <c r="C21" s="6">
        <f>3061509.83+2041.6-3037975</f>
        <v>25576</v>
      </c>
      <c r="D21" s="6"/>
      <c r="F21" s="16">
        <f t="shared" si="2"/>
        <v>-5550</v>
      </c>
      <c r="G21" s="30">
        <f t="shared" si="1"/>
        <v>-0.22</v>
      </c>
      <c r="H21" s="57" t="s">
        <v>91</v>
      </c>
    </row>
    <row r="22" spans="1:8" ht="17.25" x14ac:dyDescent="0.4">
      <c r="A22" s="22" t="s">
        <v>57</v>
      </c>
      <c r="B22" s="55">
        <v>3107038</v>
      </c>
      <c r="C22" s="56">
        <v>3037975</v>
      </c>
      <c r="D22" s="47">
        <f>1750+9363</f>
        <v>11113</v>
      </c>
      <c r="E22" s="48"/>
      <c r="F22" s="18">
        <f t="shared" si="2"/>
        <v>69063</v>
      </c>
      <c r="G22" s="32">
        <f t="shared" si="1"/>
        <v>0.02</v>
      </c>
    </row>
    <row r="23" spans="1:8" ht="15" customHeight="1" x14ac:dyDescent="0.25">
      <c r="A23" s="35" t="s">
        <v>13</v>
      </c>
      <c r="B23" s="61">
        <f>SUM(B17:B22)</f>
        <v>5760054</v>
      </c>
      <c r="C23" s="61">
        <f>SUM(C17:C22)</f>
        <v>6605640</v>
      </c>
      <c r="D23" s="61">
        <f>SUM(D17:D22)</f>
        <v>2204163</v>
      </c>
      <c r="E23" s="60"/>
      <c r="F23" s="61">
        <f>SUM(F17:F22)</f>
        <v>-845586</v>
      </c>
      <c r="G23" s="31">
        <f t="shared" si="1"/>
        <v>-0.13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8071791</v>
      </c>
      <c r="C25" s="61">
        <f>+C23+C14</f>
        <v>9395389</v>
      </c>
      <c r="D25" s="61">
        <f>+D23+D14</f>
        <v>5005293</v>
      </c>
      <c r="E25" s="60"/>
      <c r="F25" s="61">
        <f>+F23+F14</f>
        <v>-1323598</v>
      </c>
      <c r="G25" s="31">
        <f t="shared" si="1"/>
        <v>-0.14000000000000001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f>114687.6*6</f>
        <v>688126</v>
      </c>
      <c r="C28" s="16">
        <f>112438.82*6</f>
        <v>674633</v>
      </c>
      <c r="D28" s="6">
        <f>(105271.83*6)-100000</f>
        <v>531631</v>
      </c>
      <c r="E28" s="4"/>
      <c r="F28" s="16">
        <f t="shared" ref="F28:F30" si="3">B28-C28</f>
        <v>13493</v>
      </c>
      <c r="G28" s="30">
        <f>F28/C28</f>
        <v>0.02</v>
      </c>
      <c r="H28" s="1" t="s">
        <v>58</v>
      </c>
    </row>
    <row r="29" spans="1:8" ht="15" customHeight="1" x14ac:dyDescent="0.25">
      <c r="A29" s="22" t="s">
        <v>17</v>
      </c>
      <c r="B29" s="40">
        <f>3474824-1004</f>
        <v>3473820</v>
      </c>
      <c r="C29" s="16">
        <v>3400254</v>
      </c>
      <c r="D29" s="6">
        <f>2743896-D28</f>
        <v>2212265</v>
      </c>
      <c r="F29" s="16">
        <f t="shared" si="3"/>
        <v>73566</v>
      </c>
      <c r="G29" s="30">
        <f>F29/C29</f>
        <v>0.02</v>
      </c>
    </row>
    <row r="30" spans="1:8" ht="17.25" x14ac:dyDescent="0.4">
      <c r="A30" s="22" t="s">
        <v>18</v>
      </c>
      <c r="B30" s="46">
        <v>90998</v>
      </c>
      <c r="C30" s="18">
        <v>81473</v>
      </c>
      <c r="D30" s="47">
        <v>19285</v>
      </c>
      <c r="E30" s="48"/>
      <c r="F30" s="18">
        <f t="shared" si="3"/>
        <v>9525</v>
      </c>
      <c r="G30" s="32">
        <f t="shared" si="1"/>
        <v>0.12</v>
      </c>
      <c r="H30" s="1" t="s">
        <v>67</v>
      </c>
    </row>
    <row r="31" spans="1:8" ht="15" customHeight="1" x14ac:dyDescent="0.25">
      <c r="A31" s="34" t="s">
        <v>19</v>
      </c>
      <c r="B31" s="61">
        <f>SUM(B28:B30)</f>
        <v>4252944</v>
      </c>
      <c r="C31" s="61">
        <f>SUM(C28:C30)</f>
        <v>4156360</v>
      </c>
      <c r="D31" s="61">
        <f>SUM(D28:D30)</f>
        <v>2763181</v>
      </c>
      <c r="E31" s="60"/>
      <c r="F31" s="62">
        <f>B31-C31</f>
        <v>96584</v>
      </c>
      <c r="G31" s="31">
        <f t="shared" si="1"/>
        <v>0.02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12324735</v>
      </c>
      <c r="C33" s="71">
        <f>C31+C25</f>
        <v>13551749</v>
      </c>
      <c r="D33" s="59"/>
      <c r="E33" s="60"/>
      <c r="F33" s="62">
        <f>B33-C33</f>
        <v>-1227014</v>
      </c>
      <c r="G33" s="31">
        <f>F33/C33</f>
        <v>-0.09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(+B31+B25)-B22</f>
        <v>9217697</v>
      </c>
      <c r="C35" s="64">
        <f>(+C31+C25)-C22</f>
        <v>10513774</v>
      </c>
      <c r="D35" s="64">
        <f>+D31+D25</f>
        <v>7768474</v>
      </c>
      <c r="E35" s="65"/>
      <c r="F35" s="64">
        <f>+F31+F25-F22</f>
        <v>-1296077</v>
      </c>
      <c r="G35" s="31">
        <f>F35/C35</f>
        <v>-0.12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0.45200000000000001</v>
      </c>
      <c r="C37" s="20">
        <f>(C28+C29)/C35</f>
        <v>0.38800000000000001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1775562+4725</f>
        <v>1780287</v>
      </c>
      <c r="C41" s="59">
        <f>1730890+5102</f>
        <v>1735992</v>
      </c>
      <c r="D41" s="59">
        <f>1430463+17750</f>
        <v>1448213</v>
      </c>
      <c r="E41" s="60"/>
      <c r="F41" s="60">
        <f>B41-C41</f>
        <v>44295</v>
      </c>
      <c r="G41" s="30">
        <f>F41/C41</f>
        <v>0.03</v>
      </c>
      <c r="H41" s="57" t="s">
        <v>92</v>
      </c>
    </row>
    <row r="42" spans="1:8" ht="15" customHeight="1" x14ac:dyDescent="0.25">
      <c r="A42" s="22" t="s">
        <v>10</v>
      </c>
      <c r="B42" s="40">
        <v>39550</v>
      </c>
      <c r="C42" s="6">
        <v>42417</v>
      </c>
      <c r="D42" s="6">
        <v>37860</v>
      </c>
      <c r="F42" s="16">
        <f>B42-C42</f>
        <v>-2867</v>
      </c>
      <c r="G42" s="30">
        <f>F42/C42</f>
        <v>-7.0000000000000007E-2</v>
      </c>
    </row>
    <row r="43" spans="1:8" ht="15" customHeight="1" x14ac:dyDescent="0.25">
      <c r="A43" s="22" t="s">
        <v>22</v>
      </c>
      <c r="B43" s="40">
        <v>2480</v>
      </c>
      <c r="C43" s="6">
        <v>3200</v>
      </c>
      <c r="D43" s="6">
        <v>2520</v>
      </c>
      <c r="F43" s="16">
        <f t="shared" ref="F43:F66" si="4">B43-C43</f>
        <v>-720</v>
      </c>
      <c r="G43" s="30">
        <f t="shared" si="1"/>
        <v>-0.23</v>
      </c>
    </row>
    <row r="44" spans="1:8" ht="17.25" x14ac:dyDescent="0.4">
      <c r="A44" s="22" t="s">
        <v>23</v>
      </c>
      <c r="B44" s="46">
        <v>0</v>
      </c>
      <c r="C44" s="56">
        <v>57115</v>
      </c>
      <c r="D44" s="50">
        <v>29247</v>
      </c>
      <c r="E44" s="51"/>
      <c r="F44" s="49">
        <f t="shared" si="4"/>
        <v>-57115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1822317</v>
      </c>
      <c r="C45" s="61">
        <f>SUM(C41:C44)</f>
        <v>1838724</v>
      </c>
      <c r="D45" s="61">
        <f>SUM(D41:D44)</f>
        <v>1517840</v>
      </c>
      <c r="E45" s="60"/>
      <c r="F45" s="62">
        <f t="shared" si="4"/>
        <v>-16407</v>
      </c>
      <c r="G45" s="31">
        <f t="shared" si="1"/>
        <v>-0.01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1371</v>
      </c>
      <c r="C48" s="6">
        <v>20523</v>
      </c>
      <c r="D48" s="6">
        <v>10622</v>
      </c>
      <c r="F48" s="16">
        <f t="shared" si="4"/>
        <v>-19152</v>
      </c>
      <c r="G48" s="30">
        <f t="shared" si="1"/>
        <v>-0.93</v>
      </c>
      <c r="H48" s="1" t="s">
        <v>69</v>
      </c>
    </row>
    <row r="49" spans="1:8" ht="15" customHeight="1" x14ac:dyDescent="0.25">
      <c r="A49" s="22" t="s">
        <v>27</v>
      </c>
      <c r="B49" s="40">
        <v>810038</v>
      </c>
      <c r="C49" s="6">
        <v>875188</v>
      </c>
      <c r="D49" s="6">
        <v>577676</v>
      </c>
      <c r="F49" s="16">
        <f t="shared" si="4"/>
        <v>-65150</v>
      </c>
      <c r="G49" s="30">
        <f t="shared" si="1"/>
        <v>-7.0000000000000007E-2</v>
      </c>
    </row>
    <row r="50" spans="1:8" ht="15" customHeight="1" x14ac:dyDescent="0.25">
      <c r="A50" s="22" t="s">
        <v>28</v>
      </c>
      <c r="B50" s="40">
        <v>4620</v>
      </c>
      <c r="C50" s="6">
        <v>544476</v>
      </c>
      <c r="D50" s="6">
        <v>54488</v>
      </c>
      <c r="F50" s="16">
        <f t="shared" si="4"/>
        <v>-539856</v>
      </c>
      <c r="G50" s="30">
        <f t="shared" si="1"/>
        <v>-0.99</v>
      </c>
      <c r="H50" s="1" t="s">
        <v>93</v>
      </c>
    </row>
    <row r="51" spans="1:8" ht="15" customHeight="1" x14ac:dyDescent="0.25">
      <c r="A51" s="22" t="s">
        <v>29</v>
      </c>
      <c r="B51" s="40">
        <v>170066</v>
      </c>
      <c r="C51" s="6">
        <v>162312</v>
      </c>
      <c r="D51" s="6">
        <v>170884</v>
      </c>
      <c r="F51" s="16">
        <f t="shared" si="4"/>
        <v>7754</v>
      </c>
      <c r="G51" s="30">
        <f t="shared" si="1"/>
        <v>0.05</v>
      </c>
      <c r="H51" s="1" t="s">
        <v>72</v>
      </c>
    </row>
    <row r="52" spans="1:8" ht="15" customHeight="1" x14ac:dyDescent="0.25">
      <c r="A52" s="22" t="s">
        <v>63</v>
      </c>
      <c r="B52" s="40">
        <v>0</v>
      </c>
      <c r="C52" s="6">
        <v>60</v>
      </c>
      <c r="D52" s="6"/>
      <c r="F52" s="16">
        <f t="shared" si="4"/>
        <v>-60</v>
      </c>
      <c r="G52" s="30">
        <v>1</v>
      </c>
    </row>
    <row r="53" spans="1:8" ht="15" customHeight="1" x14ac:dyDescent="0.25">
      <c r="A53" s="22" t="s">
        <v>30</v>
      </c>
      <c r="B53" s="40">
        <v>123414</v>
      </c>
      <c r="C53" s="6">
        <v>267136</v>
      </c>
      <c r="D53" s="6">
        <v>91440</v>
      </c>
      <c r="F53" s="16">
        <f t="shared" si="4"/>
        <v>-143722</v>
      </c>
      <c r="G53" s="30">
        <f t="shared" si="1"/>
        <v>-0.54</v>
      </c>
      <c r="H53" s="1" t="s">
        <v>94</v>
      </c>
    </row>
    <row r="54" spans="1:8" ht="15" customHeight="1" x14ac:dyDescent="0.25">
      <c r="A54" s="22" t="s">
        <v>44</v>
      </c>
      <c r="B54" s="40">
        <v>1449260</v>
      </c>
      <c r="C54" s="6">
        <v>1909398</v>
      </c>
      <c r="D54" s="6">
        <v>638264</v>
      </c>
      <c r="F54" s="16">
        <f t="shared" si="4"/>
        <v>-460138</v>
      </c>
      <c r="G54" s="30">
        <f t="shared" si="1"/>
        <v>-0.24</v>
      </c>
      <c r="H54" s="1" t="s">
        <v>87</v>
      </c>
    </row>
    <row r="55" spans="1:8" ht="15" customHeight="1" x14ac:dyDescent="0.25">
      <c r="A55" s="22" t="s">
        <v>31</v>
      </c>
      <c r="B55" s="40">
        <v>2329093</v>
      </c>
      <c r="C55" s="6">
        <v>2101624</v>
      </c>
      <c r="D55" s="6">
        <v>1938517</v>
      </c>
      <c r="F55" s="16">
        <f t="shared" si="4"/>
        <v>227469</v>
      </c>
      <c r="G55" s="30">
        <f t="shared" si="1"/>
        <v>0.11</v>
      </c>
      <c r="H55" s="1" t="s">
        <v>52</v>
      </c>
    </row>
    <row r="56" spans="1:8" ht="17.25" x14ac:dyDescent="0.4">
      <c r="A56" s="22" t="s">
        <v>32</v>
      </c>
      <c r="B56" s="46">
        <v>42311</v>
      </c>
      <c r="C56" s="56">
        <v>45874</v>
      </c>
      <c r="D56" s="50">
        <v>14273</v>
      </c>
      <c r="E56" s="51"/>
      <c r="F56" s="49">
        <f t="shared" si="4"/>
        <v>-3563</v>
      </c>
      <c r="G56" s="32">
        <f t="shared" si="1"/>
        <v>-0.08</v>
      </c>
    </row>
    <row r="57" spans="1:8" ht="15" customHeight="1" x14ac:dyDescent="0.25">
      <c r="A57" s="35" t="s">
        <v>33</v>
      </c>
      <c r="B57" s="61">
        <f>SUM(B48:B56)</f>
        <v>4930173</v>
      </c>
      <c r="C57" s="61">
        <f>SUM(C48:C56)</f>
        <v>5926591</v>
      </c>
      <c r="D57" s="61">
        <f>SUM(D48:D56)</f>
        <v>3496164</v>
      </c>
      <c r="E57" s="60"/>
      <c r="F57" s="62">
        <f t="shared" si="4"/>
        <v>-996418</v>
      </c>
      <c r="G57" s="31">
        <f t="shared" si="1"/>
        <v>-0.17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12651</v>
      </c>
      <c r="C60" s="6">
        <v>23808</v>
      </c>
      <c r="D60" s="6">
        <v>3301</v>
      </c>
      <c r="F60" s="16">
        <f t="shared" si="4"/>
        <v>-11157</v>
      </c>
      <c r="G60" s="30">
        <f t="shared" si="1"/>
        <v>-0.47</v>
      </c>
      <c r="H60" s="1" t="s">
        <v>95</v>
      </c>
    </row>
    <row r="61" spans="1:8" ht="15" customHeight="1" x14ac:dyDescent="0.25">
      <c r="A61" s="22" t="s">
        <v>36</v>
      </c>
      <c r="B61" s="40">
        <v>8132</v>
      </c>
      <c r="C61" s="6">
        <v>9507</v>
      </c>
      <c r="D61" s="6">
        <v>13427</v>
      </c>
      <c r="F61" s="16">
        <f t="shared" si="4"/>
        <v>-1375</v>
      </c>
      <c r="G61" s="30">
        <f t="shared" si="1"/>
        <v>-0.14000000000000001</v>
      </c>
    </row>
    <row r="62" spans="1:8" ht="15" customHeight="1" x14ac:dyDescent="0.25">
      <c r="A62" s="22" t="s">
        <v>37</v>
      </c>
      <c r="B62" s="40">
        <v>66887</v>
      </c>
      <c r="C62" s="6">
        <v>51506</v>
      </c>
      <c r="D62" s="6">
        <v>28946</v>
      </c>
      <c r="F62" s="16">
        <f t="shared" si="4"/>
        <v>15381</v>
      </c>
      <c r="G62" s="30">
        <f t="shared" si="1"/>
        <v>0.3</v>
      </c>
      <c r="H62" s="1" t="s">
        <v>75</v>
      </c>
    </row>
    <row r="63" spans="1:8" ht="17.25" x14ac:dyDescent="0.4">
      <c r="A63" s="22" t="s">
        <v>38</v>
      </c>
      <c r="B63" s="46">
        <v>69735</v>
      </c>
      <c r="C63" s="50">
        <v>88106</v>
      </c>
      <c r="D63" s="50">
        <v>50079</v>
      </c>
      <c r="E63" s="51"/>
      <c r="F63" s="49">
        <f t="shared" si="4"/>
        <v>-18371</v>
      </c>
      <c r="G63" s="32">
        <f t="shared" si="1"/>
        <v>-0.21</v>
      </c>
      <c r="H63" s="1" t="s">
        <v>96</v>
      </c>
    </row>
    <row r="64" spans="1:8" ht="15" customHeight="1" x14ac:dyDescent="0.25">
      <c r="A64" s="35" t="s">
        <v>39</v>
      </c>
      <c r="B64" s="61">
        <f>SUM(B60:B63)</f>
        <v>157405</v>
      </c>
      <c r="C64" s="61">
        <f>SUM(C60:C63)</f>
        <v>172927</v>
      </c>
      <c r="D64" s="61">
        <f>SUM(D60:D63)</f>
        <v>95753</v>
      </c>
      <c r="E64" s="60"/>
      <c r="F64" s="62">
        <f t="shared" si="4"/>
        <v>-15522</v>
      </c>
      <c r="G64" s="31">
        <f t="shared" si="1"/>
        <v>-0.09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6909895</v>
      </c>
      <c r="C66" s="61">
        <f>+C64+C57+C45</f>
        <v>7938242</v>
      </c>
      <c r="D66" s="61">
        <f>+D64+D57+D45</f>
        <v>5109757</v>
      </c>
      <c r="E66" s="59"/>
      <c r="F66" s="62">
        <f t="shared" si="4"/>
        <v>-1028347</v>
      </c>
      <c r="G66" s="31">
        <f t="shared" si="1"/>
        <v>-0.13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0"/>
    </row>
    <row r="68" spans="1:7" s="5" customFormat="1" ht="15" customHeight="1" x14ac:dyDescent="0.25">
      <c r="A68" s="69" t="s">
        <v>60</v>
      </c>
      <c r="B68" s="61">
        <f>B35-B66</f>
        <v>2307802</v>
      </c>
      <c r="C68" s="61">
        <f>C35-C66</f>
        <v>2575532</v>
      </c>
      <c r="D68" s="61">
        <f>D35-D66</f>
        <v>2658717</v>
      </c>
      <c r="E68" s="59"/>
      <c r="F68" s="61">
        <f>B68-C68</f>
        <v>-267730</v>
      </c>
      <c r="G68" s="31">
        <f>F68/C68</f>
        <v>-0.1</v>
      </c>
    </row>
    <row r="69" spans="1:7" ht="8.1" customHeight="1" x14ac:dyDescent="0.25">
      <c r="A69" s="22"/>
      <c r="B69" s="3"/>
      <c r="C69" s="3"/>
      <c r="D69" s="3"/>
      <c r="F69" s="16"/>
      <c r="G69" s="30"/>
    </row>
    <row r="70" spans="1:7" s="5" customFormat="1" ht="15" customHeight="1" x14ac:dyDescent="0.25">
      <c r="A70" s="27" t="s">
        <v>62</v>
      </c>
      <c r="B70" s="38">
        <f>B68/B35</f>
        <v>0.25</v>
      </c>
      <c r="C70" s="38">
        <f>C68/C35</f>
        <v>0.245</v>
      </c>
      <c r="D70" s="13">
        <f>+D68/D35</f>
        <v>0.34200000000000003</v>
      </c>
      <c r="F70" s="20"/>
      <c r="G70" s="30"/>
    </row>
    <row r="71" spans="1:7" ht="8.1" customHeight="1" x14ac:dyDescent="0.25">
      <c r="A71" s="22"/>
      <c r="G71" s="30"/>
    </row>
    <row r="72" spans="1:7" ht="15" customHeight="1" x14ac:dyDescent="0.25">
      <c r="A72" s="28"/>
      <c r="B72" s="66"/>
      <c r="C72" s="66"/>
      <c r="D72" s="62"/>
      <c r="E72" s="60"/>
      <c r="F72" s="62"/>
      <c r="G72" s="31"/>
    </row>
    <row r="73" spans="1:7" x14ac:dyDescent="0.25">
      <c r="A73" s="22"/>
      <c r="B73" s="40"/>
      <c r="G73" s="33"/>
    </row>
    <row r="74" spans="1:7" x14ac:dyDescent="0.25">
      <c r="A74" s="22"/>
      <c r="B74" s="40"/>
      <c r="G74" s="33"/>
    </row>
    <row r="75" spans="1:7" x14ac:dyDescent="0.25">
      <c r="A75" s="22"/>
      <c r="B75" s="40"/>
      <c r="G75" s="33"/>
    </row>
    <row r="76" spans="1:7" x14ac:dyDescent="0.25">
      <c r="A76" s="29" t="s">
        <v>40</v>
      </c>
      <c r="B76" s="44"/>
      <c r="C76" s="1" t="s">
        <v>53</v>
      </c>
      <c r="G76" s="33"/>
    </row>
    <row r="77" spans="1:7" x14ac:dyDescent="0.25">
      <c r="A77" s="22"/>
      <c r="B77" s="40"/>
      <c r="C77" s="1" t="s">
        <v>54</v>
      </c>
      <c r="G77" s="33"/>
    </row>
    <row r="78" spans="1:7" x14ac:dyDescent="0.25">
      <c r="A78" s="22"/>
      <c r="B78" s="40"/>
      <c r="G78" s="33"/>
    </row>
    <row r="79" spans="1:7" x14ac:dyDescent="0.25">
      <c r="B79" s="45"/>
      <c r="G79" s="33"/>
    </row>
    <row r="80" spans="1:7" x14ac:dyDescent="0.25">
      <c r="B80" s="45"/>
      <c r="C80" s="17"/>
      <c r="G80" s="33"/>
    </row>
    <row r="81" spans="2:2" x14ac:dyDescent="0.25">
      <c r="B81" s="45"/>
    </row>
    <row r="82" spans="2:2" x14ac:dyDescent="0.25">
      <c r="B82" s="45"/>
    </row>
  </sheetData>
  <mergeCells count="4">
    <mergeCell ref="A1:G1"/>
    <mergeCell ref="A2:G2"/>
    <mergeCell ref="A3:G3"/>
    <mergeCell ref="F5:G5"/>
  </mergeCells>
  <printOptions horizontalCentered="1" verticalCentered="1" gridLines="1"/>
  <pageMargins left="0" right="0" top="0" bottom="0" header="0" footer="0"/>
  <pageSetup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5627-5E32-485F-8BAF-36BF2BBB7A7B}">
  <sheetPr>
    <pageSetUpPr fitToPage="1"/>
  </sheetPr>
  <dimension ref="A1:H81"/>
  <sheetViews>
    <sheetView workbookViewId="0">
      <pane xSplit="1" ySplit="6" topLeftCell="B38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 x14ac:dyDescent="0.25"/>
  <cols>
    <col min="1" max="1" width="36.5" style="1" customWidth="1"/>
    <col min="2" max="2" width="12.12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1.125" style="1" bestFit="1" customWidth="1"/>
    <col min="7" max="7" width="6.375" style="1" bestFit="1" customWidth="1"/>
    <col min="8" max="8" width="26.625" style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84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51</v>
      </c>
      <c r="D5" s="54"/>
      <c r="F5" s="106" t="s">
        <v>46</v>
      </c>
      <c r="G5" s="106"/>
    </row>
    <row r="6" spans="1:8" ht="15" customHeight="1" x14ac:dyDescent="0.25">
      <c r="A6" s="39"/>
      <c r="B6" s="52" t="s">
        <v>65</v>
      </c>
      <c r="C6" s="52" t="s">
        <v>65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1208361</v>
      </c>
      <c r="C8" s="59">
        <v>1266902</v>
      </c>
      <c r="D8" s="59">
        <v>1497206</v>
      </c>
      <c r="E8" s="60"/>
      <c r="F8" s="60">
        <f>B8-C8</f>
        <v>-58541</v>
      </c>
      <c r="G8" s="30">
        <f>F8/C8</f>
        <v>-0.05</v>
      </c>
      <c r="H8" s="1" t="s">
        <v>88</v>
      </c>
    </row>
    <row r="9" spans="1:8" ht="15" customHeight="1" x14ac:dyDescent="0.25">
      <c r="A9" s="22" t="s">
        <v>4</v>
      </c>
      <c r="B9" s="40">
        <v>452840</v>
      </c>
      <c r="C9" s="6">
        <v>481326</v>
      </c>
      <c r="D9" s="6">
        <v>454710</v>
      </c>
      <c r="F9" s="16">
        <f t="shared" ref="F9:F14" si="0">B9-C9</f>
        <v>-28486</v>
      </c>
      <c r="G9" s="30">
        <f t="shared" ref="G9:G66" si="1">F9/C9</f>
        <v>-0.06</v>
      </c>
    </row>
    <row r="10" spans="1:8" ht="15" customHeight="1" x14ac:dyDescent="0.25">
      <c r="A10" s="22" t="s">
        <v>5</v>
      </c>
      <c r="B10" s="40">
        <v>214191</v>
      </c>
      <c r="C10" s="6">
        <v>223093</v>
      </c>
      <c r="D10" s="6">
        <v>219354</v>
      </c>
      <c r="F10" s="16">
        <f t="shared" si="0"/>
        <v>-8902</v>
      </c>
      <c r="G10" s="30">
        <f t="shared" si="1"/>
        <v>-0.04</v>
      </c>
    </row>
    <row r="11" spans="1:8" ht="15" customHeight="1" x14ac:dyDescent="0.25">
      <c r="A11" s="22" t="s">
        <v>6</v>
      </c>
      <c r="B11" s="40">
        <v>15084</v>
      </c>
      <c r="C11" s="6">
        <v>15843</v>
      </c>
      <c r="D11" s="6">
        <v>16995</v>
      </c>
      <c r="F11" s="16">
        <f t="shared" si="0"/>
        <v>-759</v>
      </c>
      <c r="G11" s="30">
        <f t="shared" si="1"/>
        <v>-0.05</v>
      </c>
    </row>
    <row r="12" spans="1:8" ht="15" customHeight="1" x14ac:dyDescent="0.25">
      <c r="A12" s="22" t="s">
        <v>42</v>
      </c>
      <c r="B12" s="40">
        <v>30436</v>
      </c>
      <c r="C12" s="6">
        <v>23646</v>
      </c>
      <c r="D12" s="6">
        <v>40253</v>
      </c>
      <c r="F12" s="16">
        <f t="shared" si="0"/>
        <v>6790</v>
      </c>
      <c r="G12" s="30">
        <f t="shared" si="1"/>
        <v>0.28999999999999998</v>
      </c>
      <c r="H12" s="1" t="s">
        <v>77</v>
      </c>
    </row>
    <row r="13" spans="1:8" ht="17.25" x14ac:dyDescent="0.4">
      <c r="A13" s="22" t="s">
        <v>7</v>
      </c>
      <c r="B13" s="46">
        <v>390825</v>
      </c>
      <c r="C13" s="56">
        <v>436160</v>
      </c>
      <c r="D13" s="47">
        <v>572612</v>
      </c>
      <c r="E13" s="48"/>
      <c r="F13" s="18">
        <f t="shared" si="0"/>
        <v>-45335</v>
      </c>
      <c r="G13" s="32">
        <f t="shared" si="1"/>
        <v>-0.1</v>
      </c>
    </row>
    <row r="14" spans="1:8" ht="15" customHeight="1" x14ac:dyDescent="0.25">
      <c r="A14" s="35" t="s">
        <v>8</v>
      </c>
      <c r="B14" s="61">
        <f>SUM(B8:B13)</f>
        <v>2311737</v>
      </c>
      <c r="C14" s="61">
        <f>SUM(C8:C13)</f>
        <v>2446970</v>
      </c>
      <c r="D14" s="61">
        <f>SUM(D8:D13)</f>
        <v>2801130</v>
      </c>
      <c r="E14" s="60"/>
      <c r="F14" s="62">
        <f t="shared" si="0"/>
        <v>-135233</v>
      </c>
      <c r="G14" s="31">
        <f t="shared" si="1"/>
        <v>-0.06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1717394+111284</f>
        <v>1828678</v>
      </c>
      <c r="C17" s="6">
        <f>1715413+3835</f>
        <v>1719248</v>
      </c>
      <c r="D17" s="6">
        <f>1700438+102308</f>
        <v>1802746</v>
      </c>
      <c r="F17" s="16">
        <f>B17-C17</f>
        <v>109430</v>
      </c>
      <c r="G17" s="30">
        <f t="shared" si="1"/>
        <v>0.06</v>
      </c>
      <c r="H17" s="1" t="s">
        <v>83</v>
      </c>
    </row>
    <row r="18" spans="1:8" ht="15" customHeight="1" x14ac:dyDescent="0.25">
      <c r="A18" s="22" t="s">
        <v>10</v>
      </c>
      <c r="B18" s="40">
        <v>36662</v>
      </c>
      <c r="C18" s="6">
        <v>39611</v>
      </c>
      <c r="D18" s="6">
        <v>41973</v>
      </c>
      <c r="F18" s="16">
        <f t="shared" ref="F18:F22" si="2">B18-C18</f>
        <v>-2949</v>
      </c>
      <c r="G18" s="30">
        <f t="shared" si="1"/>
        <v>-7.0000000000000007E-2</v>
      </c>
    </row>
    <row r="19" spans="1:8" ht="15" customHeight="1" x14ac:dyDescent="0.25">
      <c r="A19" s="22" t="s">
        <v>11</v>
      </c>
      <c r="B19" s="40">
        <v>111771</v>
      </c>
      <c r="C19" s="6">
        <v>118843</v>
      </c>
      <c r="D19" s="6">
        <v>128054</v>
      </c>
      <c r="F19" s="16">
        <f t="shared" si="2"/>
        <v>-7072</v>
      </c>
      <c r="G19" s="30">
        <f t="shared" si="1"/>
        <v>-0.06</v>
      </c>
    </row>
    <row r="20" spans="1:8" ht="15" customHeight="1" x14ac:dyDescent="0.25">
      <c r="A20" s="22" t="s">
        <v>12</v>
      </c>
      <c r="B20" s="40">
        <v>655879</v>
      </c>
      <c r="C20" s="6">
        <v>571684</v>
      </c>
      <c r="D20" s="6">
        <v>220277</v>
      </c>
      <c r="F20" s="16">
        <f t="shared" si="2"/>
        <v>84195</v>
      </c>
      <c r="G20" s="30">
        <f t="shared" si="1"/>
        <v>0.15</v>
      </c>
      <c r="H20" s="57"/>
    </row>
    <row r="21" spans="1:8" ht="15" customHeight="1" x14ac:dyDescent="0.25">
      <c r="A21" s="22" t="s">
        <v>9</v>
      </c>
      <c r="B21" s="67">
        <f>2239+3124825-3107038</f>
        <v>20026</v>
      </c>
      <c r="C21" s="6">
        <f>3198880-3037975</f>
        <v>160905</v>
      </c>
      <c r="D21" s="6"/>
      <c r="F21" s="16">
        <f t="shared" si="2"/>
        <v>-140879</v>
      </c>
      <c r="G21" s="30">
        <f t="shared" si="1"/>
        <v>-0.88</v>
      </c>
      <c r="H21" s="57"/>
    </row>
    <row r="22" spans="1:8" ht="17.25" x14ac:dyDescent="0.4">
      <c r="A22" s="22" t="s">
        <v>57</v>
      </c>
      <c r="B22" s="55">
        <v>3107038</v>
      </c>
      <c r="C22" s="56">
        <v>3037975</v>
      </c>
      <c r="D22" s="47">
        <f>1750+9363</f>
        <v>11113</v>
      </c>
      <c r="E22" s="48"/>
      <c r="F22" s="18">
        <f t="shared" si="2"/>
        <v>69063</v>
      </c>
      <c r="G22" s="32">
        <f t="shared" si="1"/>
        <v>0.02</v>
      </c>
    </row>
    <row r="23" spans="1:8" ht="15" customHeight="1" x14ac:dyDescent="0.25">
      <c r="A23" s="35" t="s">
        <v>13</v>
      </c>
      <c r="B23" s="61">
        <f>SUM(B17:B22)</f>
        <v>5760054</v>
      </c>
      <c r="C23" s="61">
        <f>SUM(C17:C22)</f>
        <v>5648266</v>
      </c>
      <c r="D23" s="61">
        <f>SUM(D17:D22)</f>
        <v>2204163</v>
      </c>
      <c r="E23" s="60"/>
      <c r="F23" s="61">
        <f>SUM(F17:F22)</f>
        <v>111788</v>
      </c>
      <c r="G23" s="31">
        <f t="shared" si="1"/>
        <v>0.02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8071791</v>
      </c>
      <c r="C25" s="61">
        <f>+C23+C14</f>
        <v>8095236</v>
      </c>
      <c r="D25" s="61">
        <f>+D23+D14</f>
        <v>5005293</v>
      </c>
      <c r="E25" s="60"/>
      <c r="F25" s="61">
        <f>+F23+F14</f>
        <v>-23445</v>
      </c>
      <c r="G25" s="31">
        <f t="shared" si="1"/>
        <v>0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f>114687.6*6</f>
        <v>688126</v>
      </c>
      <c r="C28" s="16">
        <f>112438.82*6</f>
        <v>674633</v>
      </c>
      <c r="D28" s="6">
        <f>(105271.83*6)-100000</f>
        <v>531631</v>
      </c>
      <c r="E28" s="4"/>
      <c r="F28" s="16">
        <f t="shared" ref="F28:F31" si="3">B28-C28</f>
        <v>13493</v>
      </c>
      <c r="G28" s="30">
        <f t="shared" si="1"/>
        <v>0.02</v>
      </c>
    </row>
    <row r="29" spans="1:8" ht="15" customHeight="1" x14ac:dyDescent="0.25">
      <c r="A29" s="22" t="s">
        <v>17</v>
      </c>
      <c r="B29" s="40">
        <f>3474824-1004</f>
        <v>3473820</v>
      </c>
      <c r="C29" s="16">
        <f>1727544-674633</f>
        <v>1052911</v>
      </c>
      <c r="D29" s="6">
        <f>2743896-D28</f>
        <v>2212265</v>
      </c>
      <c r="F29" s="16">
        <f t="shared" si="3"/>
        <v>2420909</v>
      </c>
      <c r="G29" s="30">
        <f t="shared" si="1"/>
        <v>2.2999999999999998</v>
      </c>
    </row>
    <row r="30" spans="1:8" ht="17.25" x14ac:dyDescent="0.4">
      <c r="A30" s="22" t="s">
        <v>18</v>
      </c>
      <c r="B30" s="46">
        <v>90998</v>
      </c>
      <c r="C30" s="18">
        <v>81065</v>
      </c>
      <c r="D30" s="47">
        <v>19285</v>
      </c>
      <c r="E30" s="48"/>
      <c r="F30" s="18">
        <f t="shared" si="3"/>
        <v>9933</v>
      </c>
      <c r="G30" s="32">
        <f t="shared" si="1"/>
        <v>0.12</v>
      </c>
    </row>
    <row r="31" spans="1:8" ht="15" customHeight="1" x14ac:dyDescent="0.25">
      <c r="A31" s="34" t="s">
        <v>19</v>
      </c>
      <c r="B31" s="61">
        <f>SUM(B28:B30)</f>
        <v>4252944</v>
      </c>
      <c r="C31" s="61">
        <f>SUM(C28:C30)</f>
        <v>1808609</v>
      </c>
      <c r="D31" s="61">
        <f>SUM(D28:D30)</f>
        <v>2763181</v>
      </c>
      <c r="E31" s="60"/>
      <c r="F31" s="62">
        <f t="shared" si="3"/>
        <v>2444335</v>
      </c>
      <c r="G31" s="31">
        <f t="shared" si="1"/>
        <v>1.35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12324735</v>
      </c>
      <c r="C33" s="71">
        <f>C31+C25</f>
        <v>9903845</v>
      </c>
      <c r="D33" s="59"/>
      <c r="E33" s="60"/>
      <c r="F33" s="62">
        <f>B33-C33</f>
        <v>2420890</v>
      </c>
      <c r="G33" s="31">
        <f>F33/C33</f>
        <v>0.24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(+B31+B25)-B22</f>
        <v>9217697</v>
      </c>
      <c r="C35" s="64">
        <f>+C31+C25-C22</f>
        <v>6865870</v>
      </c>
      <c r="D35" s="64">
        <f>+D31+D25</f>
        <v>7768474</v>
      </c>
      <c r="E35" s="65"/>
      <c r="F35" s="64">
        <f>+F31+F25-F22</f>
        <v>2351827</v>
      </c>
      <c r="G35" s="31">
        <f>F35/C35</f>
        <v>0.34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0.45200000000000001</v>
      </c>
      <c r="C37" s="20">
        <f>(C28+C29)/C35</f>
        <v>0.252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1775562+4725</f>
        <v>1780287</v>
      </c>
      <c r="C41" s="59">
        <f>1994364+8250</f>
        <v>2002614</v>
      </c>
      <c r="D41" s="59">
        <f>1430463+17750</f>
        <v>1448213</v>
      </c>
      <c r="E41" s="60"/>
      <c r="F41" s="60">
        <f>B41-C41</f>
        <v>-222327</v>
      </c>
      <c r="G41" s="30">
        <f>F41/C41</f>
        <v>-0.11</v>
      </c>
      <c r="H41" s="57" t="s">
        <v>82</v>
      </c>
    </row>
    <row r="42" spans="1:8" ht="15" customHeight="1" x14ac:dyDescent="0.25">
      <c r="A42" s="22" t="s">
        <v>10</v>
      </c>
      <c r="B42" s="40">
        <v>39550</v>
      </c>
      <c r="C42" s="6">
        <v>49128</v>
      </c>
      <c r="D42" s="6">
        <v>37860</v>
      </c>
      <c r="F42" s="16">
        <f>B42-C42</f>
        <v>-9578</v>
      </c>
      <c r="G42" s="30">
        <f>F42/C42</f>
        <v>-0.19</v>
      </c>
    </row>
    <row r="43" spans="1:8" ht="15" customHeight="1" x14ac:dyDescent="0.25">
      <c r="A43" s="22" t="s">
        <v>22</v>
      </c>
      <c r="B43" s="40">
        <v>2480</v>
      </c>
      <c r="C43" s="6">
        <v>3078</v>
      </c>
      <c r="D43" s="6">
        <v>2520</v>
      </c>
      <c r="F43" s="16">
        <f t="shared" ref="F43:F66" si="4">B43-C43</f>
        <v>-598</v>
      </c>
      <c r="G43" s="30">
        <f t="shared" si="1"/>
        <v>-0.19</v>
      </c>
    </row>
    <row r="44" spans="1:8" ht="17.25" x14ac:dyDescent="0.4">
      <c r="A44" s="22" t="s">
        <v>23</v>
      </c>
      <c r="B44" s="46">
        <v>0</v>
      </c>
      <c r="C44" s="56">
        <v>37680</v>
      </c>
      <c r="D44" s="50">
        <v>29247</v>
      </c>
      <c r="E44" s="51"/>
      <c r="F44" s="49">
        <f t="shared" si="4"/>
        <v>-37680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1822317</v>
      </c>
      <c r="C45" s="61">
        <f>SUM(C41:C44)</f>
        <v>2092500</v>
      </c>
      <c r="D45" s="61">
        <f>SUM(D41:D44)</f>
        <v>1517840</v>
      </c>
      <c r="E45" s="60"/>
      <c r="F45" s="62">
        <f t="shared" si="4"/>
        <v>-270183</v>
      </c>
      <c r="G45" s="31">
        <f t="shared" si="1"/>
        <v>-0.13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1371</v>
      </c>
      <c r="C48" s="6">
        <v>19098</v>
      </c>
      <c r="D48" s="6">
        <v>10622</v>
      </c>
      <c r="F48" s="16">
        <f t="shared" si="4"/>
        <v>-17727</v>
      </c>
      <c r="G48" s="30">
        <f t="shared" si="1"/>
        <v>-0.93</v>
      </c>
    </row>
    <row r="49" spans="1:8" ht="15" customHeight="1" x14ac:dyDescent="0.25">
      <c r="A49" s="22" t="s">
        <v>27</v>
      </c>
      <c r="B49" s="40">
        <v>810038</v>
      </c>
      <c r="C49" s="6">
        <v>851010</v>
      </c>
      <c r="D49" s="6">
        <v>577676</v>
      </c>
      <c r="F49" s="16">
        <f t="shared" si="4"/>
        <v>-40972</v>
      </c>
      <c r="G49" s="30">
        <f t="shared" si="1"/>
        <v>-0.05</v>
      </c>
    </row>
    <row r="50" spans="1:8" ht="15" customHeight="1" x14ac:dyDescent="0.25">
      <c r="A50" s="22" t="s">
        <v>28</v>
      </c>
      <c r="B50" s="40">
        <v>4620</v>
      </c>
      <c r="C50" s="6">
        <v>49266</v>
      </c>
      <c r="D50" s="6">
        <v>54488</v>
      </c>
      <c r="F50" s="16">
        <f t="shared" si="4"/>
        <v>-44646</v>
      </c>
      <c r="G50" s="30">
        <f t="shared" si="1"/>
        <v>-0.91</v>
      </c>
    </row>
    <row r="51" spans="1:8" ht="15" customHeight="1" x14ac:dyDescent="0.25">
      <c r="A51" s="22" t="s">
        <v>29</v>
      </c>
      <c r="B51" s="40">
        <v>170066</v>
      </c>
      <c r="C51" s="6">
        <v>165816</v>
      </c>
      <c r="D51" s="6">
        <v>170884</v>
      </c>
      <c r="F51" s="16">
        <f t="shared" si="4"/>
        <v>4250</v>
      </c>
      <c r="G51" s="30">
        <f t="shared" si="1"/>
        <v>0.03</v>
      </c>
    </row>
    <row r="52" spans="1:8" ht="15" customHeight="1" x14ac:dyDescent="0.25">
      <c r="A52" s="22" t="s">
        <v>63</v>
      </c>
      <c r="B52" s="40">
        <v>0</v>
      </c>
      <c r="C52" s="6">
        <v>3000</v>
      </c>
      <c r="D52" s="6"/>
      <c r="F52" s="16">
        <f t="shared" si="4"/>
        <v>-3000</v>
      </c>
      <c r="G52" s="30">
        <v>1</v>
      </c>
    </row>
    <row r="53" spans="1:8" ht="15" customHeight="1" x14ac:dyDescent="0.25">
      <c r="A53" s="22" t="s">
        <v>30</v>
      </c>
      <c r="B53" s="40">
        <v>123414</v>
      </c>
      <c r="C53" s="6">
        <v>80262</v>
      </c>
      <c r="D53" s="6">
        <v>91440</v>
      </c>
      <c r="F53" s="16">
        <f t="shared" si="4"/>
        <v>43152</v>
      </c>
      <c r="G53" s="30">
        <f t="shared" si="1"/>
        <v>0.54</v>
      </c>
      <c r="H53" s="1" t="s">
        <v>79</v>
      </c>
    </row>
    <row r="54" spans="1:8" ht="15" customHeight="1" x14ac:dyDescent="0.25">
      <c r="A54" s="22" t="s">
        <v>44</v>
      </c>
      <c r="B54" s="40">
        <v>1449260</v>
      </c>
      <c r="C54" s="6">
        <v>2181060</v>
      </c>
      <c r="D54" s="6">
        <v>638264</v>
      </c>
      <c r="F54" s="16">
        <f t="shared" si="4"/>
        <v>-731800</v>
      </c>
      <c r="G54" s="30">
        <f t="shared" si="1"/>
        <v>-0.34</v>
      </c>
      <c r="H54" s="57" t="s">
        <v>78</v>
      </c>
    </row>
    <row r="55" spans="1:8" ht="15" customHeight="1" x14ac:dyDescent="0.25">
      <c r="A55" s="22" t="s">
        <v>31</v>
      </c>
      <c r="B55" s="40">
        <v>2329093</v>
      </c>
      <c r="C55" s="6">
        <v>2235522</v>
      </c>
      <c r="D55" s="6">
        <v>1938517</v>
      </c>
      <c r="F55" s="16">
        <f t="shared" si="4"/>
        <v>93571</v>
      </c>
      <c r="G55" s="30">
        <f t="shared" si="1"/>
        <v>0.04</v>
      </c>
      <c r="H55" s="1" t="s">
        <v>52</v>
      </c>
    </row>
    <row r="56" spans="1:8" ht="17.25" x14ac:dyDescent="0.4">
      <c r="A56" s="22" t="s">
        <v>32</v>
      </c>
      <c r="B56" s="46">
        <v>42311</v>
      </c>
      <c r="C56" s="56">
        <v>49746</v>
      </c>
      <c r="D56" s="50">
        <v>14273</v>
      </c>
      <c r="E56" s="51"/>
      <c r="F56" s="49">
        <f t="shared" si="4"/>
        <v>-7435</v>
      </c>
      <c r="G56" s="32">
        <f t="shared" si="1"/>
        <v>-0.15</v>
      </c>
    </row>
    <row r="57" spans="1:8" ht="15" customHeight="1" x14ac:dyDescent="0.25">
      <c r="A57" s="35" t="s">
        <v>33</v>
      </c>
      <c r="B57" s="61">
        <f>SUM(B48:B56)</f>
        <v>4930173</v>
      </c>
      <c r="C57" s="61">
        <f>SUM(C48:C56)</f>
        <v>5634780</v>
      </c>
      <c r="D57" s="61">
        <f>SUM(D48:D56)</f>
        <v>3496164</v>
      </c>
      <c r="E57" s="60"/>
      <c r="F57" s="62">
        <f t="shared" si="4"/>
        <v>-704607</v>
      </c>
      <c r="G57" s="31">
        <f t="shared" si="1"/>
        <v>-0.13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12651</v>
      </c>
      <c r="C60" s="6">
        <v>26454</v>
      </c>
      <c r="D60" s="6">
        <v>3301</v>
      </c>
      <c r="F60" s="16">
        <f t="shared" si="4"/>
        <v>-13803</v>
      </c>
      <c r="G60" s="30">
        <f t="shared" si="1"/>
        <v>-0.52</v>
      </c>
    </row>
    <row r="61" spans="1:8" ht="15" customHeight="1" x14ac:dyDescent="0.25">
      <c r="A61" s="22" t="s">
        <v>36</v>
      </c>
      <c r="B61" s="40">
        <v>8132</v>
      </c>
      <c r="C61" s="6">
        <v>11346</v>
      </c>
      <c r="D61" s="6">
        <v>13427</v>
      </c>
      <c r="F61" s="16">
        <f t="shared" si="4"/>
        <v>-3214</v>
      </c>
      <c r="G61" s="30">
        <f t="shared" si="1"/>
        <v>-0.28000000000000003</v>
      </c>
    </row>
    <row r="62" spans="1:8" ht="15" customHeight="1" x14ac:dyDescent="0.25">
      <c r="A62" s="22" t="s">
        <v>37</v>
      </c>
      <c r="B62" s="40">
        <v>66887</v>
      </c>
      <c r="C62" s="6">
        <v>56100</v>
      </c>
      <c r="D62" s="6">
        <v>28946</v>
      </c>
      <c r="F62" s="16">
        <f t="shared" si="4"/>
        <v>10787</v>
      </c>
      <c r="G62" s="30">
        <f t="shared" si="1"/>
        <v>0.19</v>
      </c>
    </row>
    <row r="63" spans="1:8" ht="17.25" x14ac:dyDescent="0.4">
      <c r="A63" s="22" t="s">
        <v>38</v>
      </c>
      <c r="B63" s="46">
        <v>69735</v>
      </c>
      <c r="C63" s="50">
        <v>79440</v>
      </c>
      <c r="D63" s="50">
        <v>50079</v>
      </c>
      <c r="E63" s="51"/>
      <c r="F63" s="49">
        <f t="shared" si="4"/>
        <v>-9705</v>
      </c>
      <c r="G63" s="32">
        <f t="shared" si="1"/>
        <v>-0.12</v>
      </c>
    </row>
    <row r="64" spans="1:8" ht="15" customHeight="1" x14ac:dyDescent="0.25">
      <c r="A64" s="35" t="s">
        <v>39</v>
      </c>
      <c r="B64" s="61">
        <f>SUM(B60:B63)</f>
        <v>157405</v>
      </c>
      <c r="C64" s="61">
        <f>SUM(C60:C63)</f>
        <v>173340</v>
      </c>
      <c r="D64" s="61">
        <f>SUM(D60:D63)</f>
        <v>95753</v>
      </c>
      <c r="E64" s="60"/>
      <c r="F64" s="62">
        <f t="shared" si="4"/>
        <v>-15935</v>
      </c>
      <c r="G64" s="31">
        <f t="shared" si="1"/>
        <v>-0.09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6909895</v>
      </c>
      <c r="C66" s="61">
        <f>+C64+C57+C45</f>
        <v>7900620</v>
      </c>
      <c r="D66" s="61">
        <f>+D64+D57+D45</f>
        <v>5109757</v>
      </c>
      <c r="E66" s="59"/>
      <c r="F66" s="62">
        <f t="shared" si="4"/>
        <v>-990725</v>
      </c>
      <c r="G66" s="31">
        <f t="shared" si="1"/>
        <v>-0.13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0"/>
    </row>
    <row r="68" spans="1:7" s="5" customFormat="1" ht="15" customHeight="1" x14ac:dyDescent="0.25">
      <c r="A68" s="69" t="s">
        <v>60</v>
      </c>
      <c r="B68" s="61">
        <f>B35-B66</f>
        <v>2307802</v>
      </c>
      <c r="C68" s="61">
        <f>C35-C66</f>
        <v>-1034750</v>
      </c>
      <c r="D68" s="61">
        <f>D35-D66</f>
        <v>2658717</v>
      </c>
      <c r="E68" s="59"/>
      <c r="F68" s="61">
        <f>B68-C68</f>
        <v>3342552</v>
      </c>
      <c r="G68" s="31">
        <f>-F68/C68</f>
        <v>3.23</v>
      </c>
    </row>
    <row r="69" spans="1:7" ht="8.1" customHeight="1" x14ac:dyDescent="0.25">
      <c r="A69" s="22"/>
      <c r="B69" s="3"/>
      <c r="C69" s="3"/>
      <c r="D69" s="3"/>
      <c r="F69" s="16"/>
      <c r="G69" s="30"/>
    </row>
    <row r="70" spans="1:7" s="5" customFormat="1" ht="15" customHeight="1" x14ac:dyDescent="0.25">
      <c r="A70" s="27" t="s">
        <v>62</v>
      </c>
      <c r="B70" s="38">
        <f>B68/B35</f>
        <v>0.25</v>
      </c>
      <c r="C70" s="38">
        <f>C68/C35</f>
        <v>-0.151</v>
      </c>
      <c r="D70" s="13">
        <f>+D68/D35</f>
        <v>0.34200000000000003</v>
      </c>
      <c r="F70" s="20"/>
      <c r="G70" s="30"/>
    </row>
    <row r="71" spans="1:7" ht="8.1" customHeight="1" x14ac:dyDescent="0.25">
      <c r="A71" s="22"/>
      <c r="G71" s="30"/>
    </row>
    <row r="72" spans="1:7" x14ac:dyDescent="0.25">
      <c r="A72" s="22"/>
      <c r="B72" s="40"/>
      <c r="G72" s="33"/>
    </row>
    <row r="73" spans="1:7" x14ac:dyDescent="0.25">
      <c r="A73" s="22"/>
      <c r="B73" s="40"/>
      <c r="G73" s="33"/>
    </row>
    <row r="74" spans="1:7" x14ac:dyDescent="0.25">
      <c r="A74" s="22"/>
      <c r="B74" s="40"/>
      <c r="G74" s="33"/>
    </row>
    <row r="75" spans="1:7" x14ac:dyDescent="0.25">
      <c r="A75" s="29" t="s">
        <v>40</v>
      </c>
      <c r="B75" s="44"/>
      <c r="C75" s="1" t="s">
        <v>53</v>
      </c>
      <c r="G75" s="33"/>
    </row>
    <row r="76" spans="1:7" x14ac:dyDescent="0.25">
      <c r="A76" s="22"/>
      <c r="B76" s="40"/>
      <c r="C76" s="1" t="s">
        <v>54</v>
      </c>
      <c r="G76" s="33"/>
    </row>
    <row r="77" spans="1:7" x14ac:dyDescent="0.25">
      <c r="A77" s="22"/>
      <c r="B77" s="40"/>
      <c r="G77" s="33"/>
    </row>
    <row r="78" spans="1:7" x14ac:dyDescent="0.25">
      <c r="B78" s="45"/>
      <c r="G78" s="33"/>
    </row>
    <row r="79" spans="1:7" x14ac:dyDescent="0.25">
      <c r="B79" s="45"/>
      <c r="C79" s="17"/>
      <c r="G79" s="33"/>
    </row>
    <row r="80" spans="1:7" x14ac:dyDescent="0.25">
      <c r="B80" s="45"/>
    </row>
    <row r="81" spans="2:2" x14ac:dyDescent="0.25">
      <c r="B81" s="45"/>
    </row>
  </sheetData>
  <mergeCells count="4">
    <mergeCell ref="A1:G1"/>
    <mergeCell ref="A2:G2"/>
    <mergeCell ref="A3:G3"/>
    <mergeCell ref="F5:G5"/>
  </mergeCells>
  <printOptions horizontalCentered="1" verticalCentered="1" gridLines="1"/>
  <pageMargins left="0" right="0" top="0" bottom="0" header="0" footer="0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6260-DB3E-4C5B-AFC3-74668B09739C}">
  <sheetPr>
    <pageSetUpPr fitToPage="1"/>
  </sheetPr>
  <dimension ref="A1:H83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 x14ac:dyDescent="0.25"/>
  <cols>
    <col min="1" max="1" width="36.5" style="1" customWidth="1"/>
    <col min="2" max="2" width="13.37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1.75" style="1" bestFit="1" customWidth="1"/>
    <col min="7" max="7" width="6" style="1" bestFit="1" customWidth="1"/>
    <col min="8" max="8" width="43.875" style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97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45</v>
      </c>
      <c r="D5" s="54"/>
      <c r="F5" s="106" t="s">
        <v>46</v>
      </c>
      <c r="G5" s="106"/>
      <c r="H5" s="72" t="s">
        <v>108</v>
      </c>
    </row>
    <row r="6" spans="1:8" ht="15" customHeight="1" x14ac:dyDescent="0.25">
      <c r="A6" s="39"/>
      <c r="B6" s="52" t="s">
        <v>65</v>
      </c>
      <c r="C6" s="14" t="s">
        <v>56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1615085</v>
      </c>
      <c r="C8" s="59">
        <v>2005340</v>
      </c>
      <c r="D8" s="59">
        <v>1497206</v>
      </c>
      <c r="E8" s="60"/>
      <c r="F8" s="60">
        <f>B8-C8</f>
        <v>-390255</v>
      </c>
      <c r="G8" s="30">
        <f>F8/C8</f>
        <v>-0.19</v>
      </c>
    </row>
    <row r="9" spans="1:8" ht="15" customHeight="1" x14ac:dyDescent="0.25">
      <c r="A9" s="22" t="s">
        <v>4</v>
      </c>
      <c r="B9" s="40">
        <v>595452</v>
      </c>
      <c r="C9" s="6">
        <v>794235</v>
      </c>
      <c r="D9" s="6">
        <v>454710</v>
      </c>
      <c r="F9" s="16">
        <f t="shared" ref="F9:F14" si="0">B9-C9</f>
        <v>-198783</v>
      </c>
      <c r="G9" s="30">
        <f t="shared" ref="G9:G66" si="1">F9/C9</f>
        <v>-0.25</v>
      </c>
      <c r="H9" s="1" t="s">
        <v>100</v>
      </c>
    </row>
    <row r="10" spans="1:8" ht="15" customHeight="1" x14ac:dyDescent="0.25">
      <c r="A10" s="22" t="s">
        <v>5</v>
      </c>
      <c r="B10" s="40">
        <v>288614</v>
      </c>
      <c r="C10" s="6">
        <v>336960</v>
      </c>
      <c r="D10" s="6">
        <v>219354</v>
      </c>
      <c r="F10" s="16">
        <f t="shared" si="0"/>
        <v>-48346</v>
      </c>
      <c r="G10" s="30">
        <f t="shared" si="1"/>
        <v>-0.14000000000000001</v>
      </c>
    </row>
    <row r="11" spans="1:8" ht="15" customHeight="1" x14ac:dyDescent="0.25">
      <c r="A11" s="22" t="s">
        <v>6</v>
      </c>
      <c r="B11" s="40">
        <v>19562</v>
      </c>
      <c r="C11" s="6">
        <v>23924</v>
      </c>
      <c r="D11" s="6">
        <v>16995</v>
      </c>
      <c r="F11" s="16">
        <f t="shared" si="0"/>
        <v>-4362</v>
      </c>
      <c r="G11" s="30">
        <f t="shared" si="1"/>
        <v>-0.18</v>
      </c>
    </row>
    <row r="12" spans="1:8" ht="15" customHeight="1" x14ac:dyDescent="0.25">
      <c r="A12" s="22" t="s">
        <v>42</v>
      </c>
      <c r="B12" s="40">
        <v>39789</v>
      </c>
      <c r="C12" s="6">
        <v>46701</v>
      </c>
      <c r="D12" s="6">
        <v>40253</v>
      </c>
      <c r="F12" s="16">
        <f t="shared" si="0"/>
        <v>-6912</v>
      </c>
      <c r="G12" s="30">
        <f t="shared" si="1"/>
        <v>-0.15</v>
      </c>
    </row>
    <row r="13" spans="1:8" ht="17.25" x14ac:dyDescent="0.4">
      <c r="A13" s="22" t="s">
        <v>7</v>
      </c>
      <c r="B13" s="46">
        <v>526337</v>
      </c>
      <c r="C13" s="56">
        <v>660547</v>
      </c>
      <c r="D13" s="47">
        <v>572612</v>
      </c>
      <c r="E13" s="48"/>
      <c r="F13" s="18">
        <f t="shared" si="0"/>
        <v>-134210</v>
      </c>
      <c r="G13" s="32">
        <f t="shared" si="1"/>
        <v>-0.2</v>
      </c>
    </row>
    <row r="14" spans="1:8" ht="15" customHeight="1" x14ac:dyDescent="0.25">
      <c r="A14" s="35" t="s">
        <v>8</v>
      </c>
      <c r="B14" s="61">
        <f>SUM(B8:B13)</f>
        <v>3084839</v>
      </c>
      <c r="C14" s="61">
        <f>SUM(C8:C13)</f>
        <v>3867707</v>
      </c>
      <c r="D14" s="61">
        <f>SUM(D8:D13)</f>
        <v>2801130</v>
      </c>
      <c r="E14" s="60"/>
      <c r="F14" s="62">
        <f t="shared" si="0"/>
        <v>-782868</v>
      </c>
      <c r="G14" s="31">
        <f t="shared" si="1"/>
        <v>-0.2</v>
      </c>
      <c r="H14" s="1" t="s">
        <v>98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2292134+157626</f>
        <v>2449760</v>
      </c>
      <c r="C17" s="6">
        <f>3607742+5110</f>
        <v>3612852</v>
      </c>
      <c r="D17" s="6">
        <f>1700438+102308</f>
        <v>1802746</v>
      </c>
      <c r="F17" s="16">
        <f>B17-C17</f>
        <v>-1163092</v>
      </c>
      <c r="G17" s="30">
        <f t="shared" si="1"/>
        <v>-0.32</v>
      </c>
      <c r="H17" s="1" t="s">
        <v>109</v>
      </c>
    </row>
    <row r="18" spans="1:8" ht="15" customHeight="1" x14ac:dyDescent="0.25">
      <c r="A18" s="22" t="s">
        <v>10</v>
      </c>
      <c r="B18" s="40">
        <v>45682</v>
      </c>
      <c r="C18" s="6">
        <v>72044</v>
      </c>
      <c r="D18" s="6">
        <v>41973</v>
      </c>
      <c r="F18" s="16">
        <f t="shared" ref="F18:F22" si="2">B18-C18</f>
        <v>-26362</v>
      </c>
      <c r="G18" s="30">
        <f t="shared" si="1"/>
        <v>-0.37</v>
      </c>
    </row>
    <row r="19" spans="1:8" ht="15" customHeight="1" x14ac:dyDescent="0.25">
      <c r="A19" s="22" t="s">
        <v>11</v>
      </c>
      <c r="B19" s="40">
        <v>147316</v>
      </c>
      <c r="C19" s="6">
        <v>182337</v>
      </c>
      <c r="D19" s="6">
        <v>128054</v>
      </c>
      <c r="F19" s="16">
        <f t="shared" si="2"/>
        <v>-35021</v>
      </c>
      <c r="G19" s="30">
        <f t="shared" si="1"/>
        <v>-0.19</v>
      </c>
      <c r="H19" s="1" t="s">
        <v>99</v>
      </c>
    </row>
    <row r="20" spans="1:8" ht="15" customHeight="1" x14ac:dyDescent="0.25">
      <c r="A20" s="22" t="s">
        <v>12</v>
      </c>
      <c r="B20" s="40">
        <v>850197</v>
      </c>
      <c r="C20" s="6">
        <v>825143</v>
      </c>
      <c r="D20" s="6">
        <v>220277</v>
      </c>
      <c r="F20" s="16">
        <f t="shared" si="2"/>
        <v>25054</v>
      </c>
      <c r="G20" s="30">
        <f t="shared" si="1"/>
        <v>0.03</v>
      </c>
      <c r="H20" s="57"/>
    </row>
    <row r="21" spans="1:8" ht="15" customHeight="1" x14ac:dyDescent="0.25">
      <c r="A21" s="22" t="s">
        <v>9</v>
      </c>
      <c r="B21" s="67">
        <f>3551+4173905-B22+1</f>
        <v>26954</v>
      </c>
      <c r="C21" s="6">
        <f>2941+4090749-C22</f>
        <v>35445</v>
      </c>
      <c r="D21" s="6"/>
      <c r="F21" s="16">
        <f t="shared" si="2"/>
        <v>-8491</v>
      </c>
      <c r="G21" s="30">
        <f t="shared" si="1"/>
        <v>-0.24</v>
      </c>
      <c r="H21" s="57" t="s">
        <v>91</v>
      </c>
    </row>
    <row r="22" spans="1:8" ht="17.25" x14ac:dyDescent="0.4">
      <c r="A22" s="22" t="s">
        <v>57</v>
      </c>
      <c r="B22" s="55">
        <v>4150503</v>
      </c>
      <c r="C22" s="56">
        <v>4058245</v>
      </c>
      <c r="D22" s="47">
        <f>1750+9363</f>
        <v>11113</v>
      </c>
      <c r="E22" s="48"/>
      <c r="F22" s="18">
        <f t="shared" si="2"/>
        <v>92258</v>
      </c>
      <c r="G22" s="32">
        <f t="shared" si="1"/>
        <v>0.02</v>
      </c>
    </row>
    <row r="23" spans="1:8" ht="15" customHeight="1" x14ac:dyDescent="0.25">
      <c r="A23" s="35" t="s">
        <v>13</v>
      </c>
      <c r="B23" s="61">
        <f>SUM(B17:B22)</f>
        <v>7670412</v>
      </c>
      <c r="C23" s="61">
        <f>SUM(C17:C22)</f>
        <v>8786066</v>
      </c>
      <c r="D23" s="61">
        <f>SUM(D17:D22)</f>
        <v>2204163</v>
      </c>
      <c r="E23" s="60"/>
      <c r="F23" s="61">
        <f>SUM(F17:F22)</f>
        <v>-1115654</v>
      </c>
      <c r="G23" s="31">
        <f t="shared" si="1"/>
        <v>-0.13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10755251</v>
      </c>
      <c r="C25" s="61">
        <f>+C23+C14</f>
        <v>12653773</v>
      </c>
      <c r="D25" s="61">
        <f>+D23+D14</f>
        <v>5005293</v>
      </c>
      <c r="E25" s="60"/>
      <c r="F25" s="61">
        <f>+F23+F14</f>
        <v>-1898522</v>
      </c>
      <c r="G25" s="31">
        <f t="shared" si="1"/>
        <v>-0.15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f>114687.6*8</f>
        <v>917501</v>
      </c>
      <c r="C28" s="16">
        <f>112438.82*8</f>
        <v>899511</v>
      </c>
      <c r="D28" s="6">
        <f>(105271.83*6)-100000</f>
        <v>531631</v>
      </c>
      <c r="E28" s="4"/>
      <c r="F28" s="16">
        <f t="shared" ref="F28:F30" si="3">B28-C28</f>
        <v>17990</v>
      </c>
      <c r="G28" s="30">
        <f>F28/C28</f>
        <v>0.02</v>
      </c>
      <c r="H28" s="1" t="s">
        <v>58</v>
      </c>
    </row>
    <row r="29" spans="1:8" ht="15" customHeight="1" x14ac:dyDescent="0.25">
      <c r="A29" s="22" t="s">
        <v>17</v>
      </c>
      <c r="B29" s="40">
        <f>5845773-B28</f>
        <v>4928272</v>
      </c>
      <c r="C29" s="16">
        <f>5735071-C28</f>
        <v>4835560</v>
      </c>
      <c r="D29" s="6">
        <f>2743896-D28</f>
        <v>2212265</v>
      </c>
      <c r="F29" s="16">
        <f t="shared" si="3"/>
        <v>92712</v>
      </c>
      <c r="G29" s="30">
        <f>F29/C29</f>
        <v>0.02</v>
      </c>
    </row>
    <row r="30" spans="1:8" ht="17.25" x14ac:dyDescent="0.4">
      <c r="A30" s="22" t="s">
        <v>18</v>
      </c>
      <c r="B30" s="46">
        <v>121526</v>
      </c>
      <c r="C30" s="18">
        <v>110588</v>
      </c>
      <c r="D30" s="47">
        <v>19285</v>
      </c>
      <c r="E30" s="48"/>
      <c r="F30" s="18">
        <f t="shared" si="3"/>
        <v>10938</v>
      </c>
      <c r="G30" s="32">
        <f t="shared" si="1"/>
        <v>0.1</v>
      </c>
      <c r="H30" s="1" t="s">
        <v>67</v>
      </c>
    </row>
    <row r="31" spans="1:8" ht="15" customHeight="1" x14ac:dyDescent="0.25">
      <c r="A31" s="34" t="s">
        <v>19</v>
      </c>
      <c r="B31" s="61">
        <f>SUM(B28:B30)</f>
        <v>5967299</v>
      </c>
      <c r="C31" s="61">
        <f>SUM(C28:C30)</f>
        <v>5845659</v>
      </c>
      <c r="D31" s="61">
        <f>SUM(D28:D30)</f>
        <v>2763181</v>
      </c>
      <c r="E31" s="60"/>
      <c r="F31" s="62">
        <f>B31-C31</f>
        <v>121640</v>
      </c>
      <c r="G31" s="31">
        <f t="shared" si="1"/>
        <v>0.02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16722550</v>
      </c>
      <c r="C33" s="71">
        <f>C31+C25</f>
        <v>18499432</v>
      </c>
      <c r="D33" s="59"/>
      <c r="E33" s="60"/>
      <c r="F33" s="62">
        <f>B33-C33</f>
        <v>-1776882</v>
      </c>
      <c r="G33" s="31">
        <f>F33/C33</f>
        <v>-0.1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B33-B22</f>
        <v>12572047</v>
      </c>
      <c r="C35" s="64">
        <f>C33-C22</f>
        <v>14441187</v>
      </c>
      <c r="D35" s="64">
        <f>+D31+D25</f>
        <v>7768474</v>
      </c>
      <c r="E35" s="65"/>
      <c r="F35" s="64">
        <f>+F31+F25-F22</f>
        <v>-1869140</v>
      </c>
      <c r="G35" s="31">
        <f>F35/C35</f>
        <v>-0.13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0.46500000000000002</v>
      </c>
      <c r="C37" s="20">
        <f>(C28+C29)/C35</f>
        <v>0.39700000000000002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2298849+6285</f>
        <v>2305134</v>
      </c>
      <c r="C41" s="59">
        <f>2477655+8012</f>
        <v>2485667</v>
      </c>
      <c r="D41" s="59">
        <f>1430463+17750</f>
        <v>1448213</v>
      </c>
      <c r="E41" s="60"/>
      <c r="F41" s="60">
        <f>B41-C41</f>
        <v>-180533</v>
      </c>
      <c r="G41" s="30">
        <f>F41/C41</f>
        <v>-7.0000000000000007E-2</v>
      </c>
      <c r="H41" s="57" t="s">
        <v>101</v>
      </c>
    </row>
    <row r="42" spans="1:8" ht="15" customHeight="1" x14ac:dyDescent="0.25">
      <c r="A42" s="22" t="s">
        <v>10</v>
      </c>
      <c r="B42" s="40">
        <v>48370</v>
      </c>
      <c r="C42" s="6">
        <v>57537</v>
      </c>
      <c r="D42" s="6">
        <v>37860</v>
      </c>
      <c r="F42" s="16">
        <f>B42-C42</f>
        <v>-9167</v>
      </c>
      <c r="G42" s="30">
        <f>F42/C42</f>
        <v>-0.16</v>
      </c>
    </row>
    <row r="43" spans="1:8" ht="15" customHeight="1" x14ac:dyDescent="0.25">
      <c r="A43" s="22" t="s">
        <v>22</v>
      </c>
      <c r="B43" s="40">
        <v>3360</v>
      </c>
      <c r="C43" s="6">
        <v>4120</v>
      </c>
      <c r="D43" s="6">
        <v>2520</v>
      </c>
      <c r="F43" s="16">
        <f t="shared" ref="F43:F66" si="4">B43-C43</f>
        <v>-760</v>
      </c>
      <c r="G43" s="30">
        <f t="shared" si="1"/>
        <v>-0.18</v>
      </c>
    </row>
    <row r="44" spans="1:8" ht="17.25" x14ac:dyDescent="0.4">
      <c r="A44" s="22" t="s">
        <v>23</v>
      </c>
      <c r="B44" s="46">
        <v>189</v>
      </c>
      <c r="C44" s="56">
        <v>63313</v>
      </c>
      <c r="D44" s="50">
        <v>29247</v>
      </c>
      <c r="E44" s="51"/>
      <c r="F44" s="49">
        <f t="shared" si="4"/>
        <v>-63124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2357053</v>
      </c>
      <c r="C45" s="61">
        <f>SUM(C41:C44)</f>
        <v>2610637</v>
      </c>
      <c r="D45" s="61">
        <f>SUM(D41:D44)</f>
        <v>1517840</v>
      </c>
      <c r="E45" s="60"/>
      <c r="F45" s="62">
        <f t="shared" si="4"/>
        <v>-253584</v>
      </c>
      <c r="G45" s="31">
        <f t="shared" si="1"/>
        <v>-0.1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5193</v>
      </c>
      <c r="C48" s="6">
        <v>24368</v>
      </c>
      <c r="D48" s="6">
        <v>10622</v>
      </c>
      <c r="F48" s="16">
        <f t="shared" si="4"/>
        <v>-19175</v>
      </c>
      <c r="G48" s="30">
        <f t="shared" si="1"/>
        <v>-0.79</v>
      </c>
      <c r="H48" s="1" t="s">
        <v>69</v>
      </c>
    </row>
    <row r="49" spans="1:8" ht="15" customHeight="1" x14ac:dyDescent="0.25">
      <c r="A49" s="22" t="s">
        <v>27</v>
      </c>
      <c r="B49" s="40">
        <v>1058464</v>
      </c>
      <c r="C49" s="6">
        <v>1107386</v>
      </c>
      <c r="D49" s="6">
        <v>577676</v>
      </c>
      <c r="F49" s="16">
        <f t="shared" si="4"/>
        <v>-48922</v>
      </c>
      <c r="G49" s="30">
        <f t="shared" si="1"/>
        <v>-0.04</v>
      </c>
    </row>
    <row r="50" spans="1:8" ht="15" customHeight="1" x14ac:dyDescent="0.25">
      <c r="A50" s="22" t="s">
        <v>28</v>
      </c>
      <c r="B50" s="40">
        <v>5394</v>
      </c>
      <c r="C50" s="6">
        <v>557868</v>
      </c>
      <c r="D50" s="6">
        <v>54488</v>
      </c>
      <c r="F50" s="16">
        <f t="shared" si="4"/>
        <v>-552474</v>
      </c>
      <c r="G50" s="30">
        <f t="shared" si="1"/>
        <v>-0.99</v>
      </c>
      <c r="H50" s="1" t="s">
        <v>93</v>
      </c>
    </row>
    <row r="51" spans="1:8" ht="15" customHeight="1" x14ac:dyDescent="0.25">
      <c r="A51" s="22" t="s">
        <v>29</v>
      </c>
      <c r="B51" s="40">
        <v>228920</v>
      </c>
      <c r="C51" s="6">
        <v>220707</v>
      </c>
      <c r="D51" s="6">
        <v>170884</v>
      </c>
      <c r="F51" s="16">
        <f t="shared" si="4"/>
        <v>8213</v>
      </c>
      <c r="G51" s="30">
        <f t="shared" si="1"/>
        <v>0.04</v>
      </c>
      <c r="H51" s="1" t="s">
        <v>72</v>
      </c>
    </row>
    <row r="52" spans="1:8" ht="15" customHeight="1" x14ac:dyDescent="0.25">
      <c r="A52" s="22" t="s">
        <v>63</v>
      </c>
      <c r="B52" s="40">
        <v>0</v>
      </c>
      <c r="C52" s="6">
        <v>120</v>
      </c>
      <c r="D52" s="6"/>
      <c r="F52" s="16">
        <f t="shared" si="4"/>
        <v>-120</v>
      </c>
      <c r="G52" s="30">
        <v>-1</v>
      </c>
    </row>
    <row r="53" spans="1:8" ht="15" customHeight="1" x14ac:dyDescent="0.25">
      <c r="A53" s="22" t="s">
        <v>30</v>
      </c>
      <c r="B53" s="40">
        <v>162575</v>
      </c>
      <c r="C53" s="6">
        <v>351192</v>
      </c>
      <c r="D53" s="6">
        <v>91440</v>
      </c>
      <c r="F53" s="16">
        <f t="shared" si="4"/>
        <v>-188617</v>
      </c>
      <c r="G53" s="30">
        <f t="shared" si="1"/>
        <v>-0.54</v>
      </c>
      <c r="H53" s="1" t="s">
        <v>94</v>
      </c>
    </row>
    <row r="54" spans="1:8" ht="15" customHeight="1" x14ac:dyDescent="0.25">
      <c r="A54" s="22" t="s">
        <v>44</v>
      </c>
      <c r="B54" s="40">
        <v>1886283</v>
      </c>
      <c r="C54" s="6">
        <v>2671395</v>
      </c>
      <c r="D54" s="6">
        <v>638264</v>
      </c>
      <c r="F54" s="16">
        <f t="shared" si="4"/>
        <v>-785112</v>
      </c>
      <c r="G54" s="30">
        <f t="shared" si="1"/>
        <v>-0.28999999999999998</v>
      </c>
      <c r="H54" s="1" t="s">
        <v>104</v>
      </c>
    </row>
    <row r="55" spans="1:8" ht="15" customHeight="1" x14ac:dyDescent="0.25">
      <c r="A55" s="22" t="s">
        <v>31</v>
      </c>
      <c r="B55" s="40">
        <v>3106671</v>
      </c>
      <c r="C55" s="6">
        <v>2800204</v>
      </c>
      <c r="D55" s="6">
        <v>1938517</v>
      </c>
      <c r="F55" s="16">
        <f t="shared" si="4"/>
        <v>306467</v>
      </c>
      <c r="G55" s="30">
        <f t="shared" si="1"/>
        <v>0.11</v>
      </c>
      <c r="H55" s="1" t="s">
        <v>52</v>
      </c>
    </row>
    <row r="56" spans="1:8" ht="17.25" x14ac:dyDescent="0.4">
      <c r="A56" s="22" t="s">
        <v>32</v>
      </c>
      <c r="B56" s="46">
        <v>54949</v>
      </c>
      <c r="C56" s="56">
        <v>59505</v>
      </c>
      <c r="D56" s="50">
        <v>14273</v>
      </c>
      <c r="E56" s="51"/>
      <c r="F56" s="49">
        <f t="shared" si="4"/>
        <v>-4556</v>
      </c>
      <c r="G56" s="32">
        <f t="shared" si="1"/>
        <v>-0.08</v>
      </c>
    </row>
    <row r="57" spans="1:8" ht="15" customHeight="1" x14ac:dyDescent="0.25">
      <c r="A57" s="35" t="s">
        <v>33</v>
      </c>
      <c r="B57" s="61">
        <f>SUM(B48:B56)</f>
        <v>6508449</v>
      </c>
      <c r="C57" s="61">
        <f>SUM(C48:C56)</f>
        <v>7792745</v>
      </c>
      <c r="D57" s="61">
        <f>SUM(D48:D56)</f>
        <v>3496164</v>
      </c>
      <c r="E57" s="60"/>
      <c r="F57" s="62">
        <f t="shared" si="4"/>
        <v>-1284296</v>
      </c>
      <c r="G57" s="31">
        <f t="shared" si="1"/>
        <v>-0.16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13975</v>
      </c>
      <c r="C60" s="6">
        <v>23944</v>
      </c>
      <c r="D60" s="6">
        <v>3301</v>
      </c>
      <c r="F60" s="16">
        <f t="shared" si="4"/>
        <v>-9969</v>
      </c>
      <c r="G60" s="30">
        <f t="shared" si="1"/>
        <v>-0.42</v>
      </c>
      <c r="H60" s="1" t="s">
        <v>95</v>
      </c>
    </row>
    <row r="61" spans="1:8" ht="15" customHeight="1" x14ac:dyDescent="0.25">
      <c r="A61" s="22" t="s">
        <v>36</v>
      </c>
      <c r="B61" s="40">
        <v>11127</v>
      </c>
      <c r="C61" s="6">
        <v>11556</v>
      </c>
      <c r="D61" s="6">
        <v>13427</v>
      </c>
      <c r="F61" s="16">
        <f t="shared" si="4"/>
        <v>-429</v>
      </c>
      <c r="G61" s="30">
        <f t="shared" si="1"/>
        <v>-0.04</v>
      </c>
    </row>
    <row r="62" spans="1:8" ht="15" customHeight="1" x14ac:dyDescent="0.25">
      <c r="A62" s="22" t="s">
        <v>37</v>
      </c>
      <c r="B62" s="40">
        <v>111347</v>
      </c>
      <c r="C62" s="6">
        <v>66587</v>
      </c>
      <c r="D62" s="6">
        <v>28946</v>
      </c>
      <c r="F62" s="16">
        <f t="shared" si="4"/>
        <v>44760</v>
      </c>
      <c r="G62" s="30">
        <f t="shared" si="1"/>
        <v>0.67</v>
      </c>
      <c r="H62" s="1" t="s">
        <v>75</v>
      </c>
    </row>
    <row r="63" spans="1:8" ht="17.25" x14ac:dyDescent="0.4">
      <c r="A63" s="22" t="s">
        <v>38</v>
      </c>
      <c r="B63" s="46">
        <v>100288</v>
      </c>
      <c r="C63" s="50">
        <v>111258</v>
      </c>
      <c r="D63" s="50">
        <v>50079</v>
      </c>
      <c r="E63" s="51"/>
      <c r="F63" s="49">
        <f t="shared" si="4"/>
        <v>-10970</v>
      </c>
      <c r="G63" s="32">
        <f t="shared" si="1"/>
        <v>-0.1</v>
      </c>
    </row>
    <row r="64" spans="1:8" ht="15" customHeight="1" x14ac:dyDescent="0.25">
      <c r="A64" s="35" t="s">
        <v>39</v>
      </c>
      <c r="B64" s="61">
        <f>SUM(B60:B63)</f>
        <v>236737</v>
      </c>
      <c r="C64" s="61">
        <f>SUM(C60:C63)</f>
        <v>213345</v>
      </c>
      <c r="D64" s="61">
        <f>SUM(D60:D63)</f>
        <v>95753</v>
      </c>
      <c r="E64" s="60"/>
      <c r="F64" s="62">
        <f t="shared" si="4"/>
        <v>23392</v>
      </c>
      <c r="G64" s="31">
        <f t="shared" si="1"/>
        <v>0.11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9102239</v>
      </c>
      <c r="C66" s="61">
        <f>+C64+C57+C45</f>
        <v>10616727</v>
      </c>
      <c r="D66" s="61">
        <f>+D64+D57+D45</f>
        <v>5109757</v>
      </c>
      <c r="E66" s="59"/>
      <c r="F66" s="62">
        <f t="shared" si="4"/>
        <v>-1514488</v>
      </c>
      <c r="G66" s="31">
        <f t="shared" si="1"/>
        <v>-0.14000000000000001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0"/>
    </row>
    <row r="68" spans="1:7" s="5" customFormat="1" ht="15" customHeight="1" x14ac:dyDescent="0.25">
      <c r="A68" s="69" t="s">
        <v>60</v>
      </c>
      <c r="B68" s="61">
        <f>B35-B66</f>
        <v>3469808</v>
      </c>
      <c r="C68" s="61">
        <f>C35-C66</f>
        <v>3824460</v>
      </c>
      <c r="D68" s="61">
        <f>D35-D66</f>
        <v>2658717</v>
      </c>
      <c r="E68" s="59"/>
      <c r="F68" s="61">
        <f>B68-C68</f>
        <v>-354652</v>
      </c>
      <c r="G68" s="31">
        <f>F68/C68</f>
        <v>-0.09</v>
      </c>
    </row>
    <row r="69" spans="1:7" ht="8.1" customHeight="1" x14ac:dyDescent="0.25">
      <c r="A69" s="22"/>
      <c r="B69" s="3"/>
      <c r="C69" s="3"/>
      <c r="D69" s="3"/>
      <c r="F69" s="16"/>
      <c r="G69" s="30"/>
    </row>
    <row r="70" spans="1:7" s="5" customFormat="1" ht="15" customHeight="1" x14ac:dyDescent="0.25">
      <c r="A70" s="27" t="s">
        <v>62</v>
      </c>
      <c r="B70" s="38">
        <f>B68/B35</f>
        <v>0.27600000000000002</v>
      </c>
      <c r="C70" s="38">
        <f>C68/C35</f>
        <v>0.26500000000000001</v>
      </c>
      <c r="D70" s="13">
        <f>+D68/D35</f>
        <v>0.34200000000000003</v>
      </c>
      <c r="F70" s="20"/>
      <c r="G70" s="30"/>
    </row>
    <row r="71" spans="1:7" ht="8.1" customHeight="1" x14ac:dyDescent="0.25">
      <c r="A71" s="22"/>
      <c r="G71" s="30"/>
    </row>
    <row r="72" spans="1:7" ht="15.95" customHeight="1" x14ac:dyDescent="0.25">
      <c r="A72" s="69" t="s">
        <v>103</v>
      </c>
      <c r="B72" s="74">
        <f>B33-B66</f>
        <v>7620311</v>
      </c>
      <c r="C72" s="74">
        <f>C33-C66</f>
        <v>7882705</v>
      </c>
      <c r="F72" s="61">
        <f>B72-C72</f>
        <v>-262394</v>
      </c>
      <c r="G72" s="31">
        <f>F72/C72</f>
        <v>-0.03</v>
      </c>
    </row>
    <row r="73" spans="1:7" ht="15" customHeight="1" x14ac:dyDescent="0.25">
      <c r="A73" s="27" t="s">
        <v>102</v>
      </c>
      <c r="B73" s="73">
        <f>B72/B33</f>
        <v>0.45600000000000002</v>
      </c>
      <c r="C73" s="73">
        <f>C72/C33</f>
        <v>0.42599999999999999</v>
      </c>
      <c r="D73" s="62"/>
      <c r="E73" s="60"/>
      <c r="F73" s="62"/>
      <c r="G73" s="31"/>
    </row>
    <row r="74" spans="1:7" x14ac:dyDescent="0.25">
      <c r="A74" s="22"/>
      <c r="B74" s="40"/>
      <c r="G74" s="33"/>
    </row>
    <row r="75" spans="1:7" x14ac:dyDescent="0.25">
      <c r="A75" s="22"/>
      <c r="B75" s="40"/>
      <c r="G75" s="33"/>
    </row>
    <row r="76" spans="1:7" x14ac:dyDescent="0.25">
      <c r="A76" s="22"/>
      <c r="B76" s="40"/>
      <c r="G76" s="33"/>
    </row>
    <row r="77" spans="1:7" x14ac:dyDescent="0.25">
      <c r="A77" s="29" t="s">
        <v>40</v>
      </c>
      <c r="B77" s="44"/>
      <c r="C77" s="1" t="s">
        <v>53</v>
      </c>
      <c r="G77" s="33"/>
    </row>
    <row r="78" spans="1:7" x14ac:dyDescent="0.25">
      <c r="A78" s="22"/>
      <c r="B78" s="40"/>
      <c r="C78" s="1" t="s">
        <v>54</v>
      </c>
      <c r="G78" s="33"/>
    </row>
    <row r="79" spans="1:7" x14ac:dyDescent="0.25">
      <c r="A79" s="22"/>
      <c r="B79" s="40"/>
      <c r="G79" s="33"/>
    </row>
    <row r="80" spans="1:7" x14ac:dyDescent="0.25">
      <c r="B80" s="45"/>
      <c r="G80" s="33"/>
    </row>
    <row r="81" spans="2:7" x14ac:dyDescent="0.25">
      <c r="B81" s="45"/>
      <c r="C81" s="17"/>
      <c r="G81" s="33"/>
    </row>
    <row r="82" spans="2:7" x14ac:dyDescent="0.25">
      <c r="B82" s="45"/>
    </row>
    <row r="83" spans="2:7" x14ac:dyDescent="0.25">
      <c r="B83" s="45"/>
    </row>
  </sheetData>
  <mergeCells count="4">
    <mergeCell ref="A1:G1"/>
    <mergeCell ref="A2:G2"/>
    <mergeCell ref="A3:G3"/>
    <mergeCell ref="F5:G5"/>
  </mergeCells>
  <printOptions gridLines="1"/>
  <pageMargins left="0" right="0" top="0" bottom="0" header="0" footer="0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2459-F7DF-43ED-9A1F-2954F30EC84D}">
  <sheetPr>
    <pageSetUpPr fitToPage="1"/>
  </sheetPr>
  <dimension ref="A1:H81"/>
  <sheetViews>
    <sheetView workbookViewId="0">
      <pane xSplit="1" ySplit="6" topLeftCell="B29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5" x14ac:dyDescent="0.25"/>
  <cols>
    <col min="1" max="1" width="43.375" style="1" customWidth="1"/>
    <col min="2" max="2" width="12.125" style="1" bestFit="1" customWidth="1"/>
    <col min="3" max="3" width="12.125" style="1" customWidth="1"/>
    <col min="4" max="4" width="0.125" style="1" hidden="1" customWidth="1"/>
    <col min="5" max="5" width="0.875" style="1" customWidth="1"/>
    <col min="6" max="6" width="11.75" style="1" bestFit="1" customWidth="1"/>
    <col min="7" max="7" width="6.375" style="1" bestFit="1" customWidth="1"/>
    <col min="8" max="8" width="31.375" style="1" bestFit="1" customWidth="1"/>
    <col min="9" max="16384" width="9" style="1"/>
  </cols>
  <sheetData>
    <row r="1" spans="1:8" ht="14.25" customHeight="1" x14ac:dyDescent="0.25">
      <c r="A1" s="105" t="s">
        <v>0</v>
      </c>
      <c r="B1" s="105"/>
      <c r="C1" s="105"/>
      <c r="D1" s="105"/>
      <c r="E1" s="105"/>
      <c r="F1" s="105"/>
      <c r="G1" s="105"/>
    </row>
    <row r="2" spans="1:8" ht="14.45" customHeight="1" x14ac:dyDescent="0.25">
      <c r="A2" s="105" t="s">
        <v>55</v>
      </c>
      <c r="B2" s="105"/>
      <c r="C2" s="105"/>
      <c r="D2" s="105"/>
      <c r="E2" s="105"/>
      <c r="F2" s="105"/>
      <c r="G2" s="105"/>
    </row>
    <row r="3" spans="1:8" ht="14.45" customHeight="1" x14ac:dyDescent="0.25">
      <c r="A3" s="105" t="s">
        <v>97</v>
      </c>
      <c r="B3" s="105"/>
      <c r="C3" s="105"/>
      <c r="D3" s="105"/>
      <c r="E3" s="105"/>
      <c r="F3" s="105"/>
      <c r="G3" s="105"/>
    </row>
    <row r="4" spans="1:8" ht="8.1" customHeight="1" x14ac:dyDescent="0.25">
      <c r="A4" s="9"/>
      <c r="B4" s="9"/>
      <c r="C4" s="10"/>
      <c r="D4" s="10"/>
    </row>
    <row r="5" spans="1:8" ht="15" customHeight="1" x14ac:dyDescent="0.25">
      <c r="B5" s="53" t="s">
        <v>45</v>
      </c>
      <c r="C5" s="53" t="s">
        <v>51</v>
      </c>
      <c r="D5" s="54"/>
      <c r="F5" s="106" t="s">
        <v>46</v>
      </c>
      <c r="G5" s="106"/>
      <c r="H5" s="72" t="s">
        <v>108</v>
      </c>
    </row>
    <row r="6" spans="1:8" ht="15" customHeight="1" x14ac:dyDescent="0.25">
      <c r="A6" s="39"/>
      <c r="B6" s="52" t="s">
        <v>65</v>
      </c>
      <c r="C6" s="52" t="s">
        <v>65</v>
      </c>
      <c r="D6" s="14"/>
      <c r="F6" s="15" t="s">
        <v>47</v>
      </c>
      <c r="G6" s="15" t="s">
        <v>48</v>
      </c>
    </row>
    <row r="7" spans="1:8" ht="15" customHeight="1" x14ac:dyDescent="0.25">
      <c r="A7" s="21" t="s">
        <v>2</v>
      </c>
      <c r="B7" s="21"/>
      <c r="C7" s="2"/>
      <c r="D7" s="2"/>
    </row>
    <row r="8" spans="1:8" ht="15" customHeight="1" x14ac:dyDescent="0.25">
      <c r="A8" s="22" t="s">
        <v>3</v>
      </c>
      <c r="B8" s="58">
        <v>1615085</v>
      </c>
      <c r="C8" s="59">
        <v>1689203</v>
      </c>
      <c r="D8" s="59">
        <v>1497206</v>
      </c>
      <c r="E8" s="60"/>
      <c r="F8" s="60">
        <f>B8-C8</f>
        <v>-74118</v>
      </c>
      <c r="G8" s="30">
        <f>F8/C8</f>
        <v>-0.04</v>
      </c>
      <c r="H8" s="1" t="s">
        <v>98</v>
      </c>
    </row>
    <row r="9" spans="1:8" ht="15" customHeight="1" x14ac:dyDescent="0.25">
      <c r="A9" s="22" t="s">
        <v>4</v>
      </c>
      <c r="B9" s="40">
        <v>595452</v>
      </c>
      <c r="C9" s="6">
        <v>641768</v>
      </c>
      <c r="D9" s="6">
        <v>454710</v>
      </c>
      <c r="F9" s="16">
        <f t="shared" ref="F9:F14" si="0">B9-C9</f>
        <v>-46316</v>
      </c>
      <c r="G9" s="30">
        <f t="shared" ref="G9:G66" si="1">F9/C9</f>
        <v>-7.0000000000000007E-2</v>
      </c>
    </row>
    <row r="10" spans="1:8" ht="15" customHeight="1" x14ac:dyDescent="0.25">
      <c r="A10" s="22" t="s">
        <v>5</v>
      </c>
      <c r="B10" s="40">
        <v>288614</v>
      </c>
      <c r="C10" s="6">
        <v>297457</v>
      </c>
      <c r="D10" s="6">
        <v>219354</v>
      </c>
      <c r="F10" s="16">
        <f t="shared" si="0"/>
        <v>-8843</v>
      </c>
      <c r="G10" s="30">
        <f t="shared" si="1"/>
        <v>-0.03</v>
      </c>
    </row>
    <row r="11" spans="1:8" ht="15" customHeight="1" x14ac:dyDescent="0.25">
      <c r="A11" s="22" t="s">
        <v>6</v>
      </c>
      <c r="B11" s="40">
        <v>19562</v>
      </c>
      <c r="C11" s="6">
        <v>21123</v>
      </c>
      <c r="D11" s="6">
        <v>16995</v>
      </c>
      <c r="F11" s="16">
        <f t="shared" si="0"/>
        <v>-1561</v>
      </c>
      <c r="G11" s="30">
        <f t="shared" si="1"/>
        <v>-7.0000000000000007E-2</v>
      </c>
    </row>
    <row r="12" spans="1:8" ht="15" customHeight="1" x14ac:dyDescent="0.25">
      <c r="A12" s="22" t="s">
        <v>42</v>
      </c>
      <c r="B12" s="40">
        <v>39789</v>
      </c>
      <c r="C12" s="6">
        <v>31529</v>
      </c>
      <c r="D12" s="6">
        <v>40253</v>
      </c>
      <c r="F12" s="16">
        <f t="shared" si="0"/>
        <v>8260</v>
      </c>
      <c r="G12" s="30">
        <f t="shared" si="1"/>
        <v>0.26</v>
      </c>
      <c r="H12" s="1" t="s">
        <v>77</v>
      </c>
    </row>
    <row r="13" spans="1:8" ht="17.25" x14ac:dyDescent="0.4">
      <c r="A13" s="22" t="s">
        <v>7</v>
      </c>
      <c r="B13" s="46">
        <v>526337</v>
      </c>
      <c r="C13" s="56">
        <v>581547</v>
      </c>
      <c r="D13" s="47">
        <v>572612</v>
      </c>
      <c r="E13" s="48"/>
      <c r="F13" s="18">
        <f t="shared" si="0"/>
        <v>-55210</v>
      </c>
      <c r="G13" s="32">
        <f t="shared" si="1"/>
        <v>-0.09</v>
      </c>
    </row>
    <row r="14" spans="1:8" ht="15" customHeight="1" x14ac:dyDescent="0.25">
      <c r="A14" s="35" t="s">
        <v>8</v>
      </c>
      <c r="B14" s="61">
        <f>SUM(B8:B13)</f>
        <v>3084839</v>
      </c>
      <c r="C14" s="61">
        <f>SUM(C8:C13)</f>
        <v>3262627</v>
      </c>
      <c r="D14" s="61">
        <f>SUM(D8:D13)</f>
        <v>2801130</v>
      </c>
      <c r="E14" s="60"/>
      <c r="F14" s="62">
        <f t="shared" si="0"/>
        <v>-177788</v>
      </c>
      <c r="G14" s="31">
        <f t="shared" si="1"/>
        <v>-0.05</v>
      </c>
    </row>
    <row r="15" spans="1:8" ht="8.1" customHeight="1" x14ac:dyDescent="0.25">
      <c r="A15" s="22"/>
      <c r="B15" s="40"/>
      <c r="C15" s="6"/>
      <c r="D15" s="6"/>
      <c r="F15" s="16"/>
      <c r="G15" s="30"/>
    </row>
    <row r="16" spans="1:8" ht="15" customHeight="1" x14ac:dyDescent="0.25">
      <c r="A16" s="23" t="s">
        <v>9</v>
      </c>
      <c r="B16" s="41"/>
      <c r="C16" s="7"/>
      <c r="D16" s="7"/>
      <c r="F16" s="16"/>
      <c r="G16" s="30"/>
    </row>
    <row r="17" spans="1:8" ht="15" customHeight="1" x14ac:dyDescent="0.25">
      <c r="A17" s="22" t="s">
        <v>43</v>
      </c>
      <c r="B17" s="40">
        <f>2292134+157626</f>
        <v>2449760</v>
      </c>
      <c r="C17" s="6">
        <f>2287218+5113</f>
        <v>2292331</v>
      </c>
      <c r="D17" s="6">
        <f>1700438+102308</f>
        <v>1802746</v>
      </c>
      <c r="F17" s="16">
        <f>B17-C17</f>
        <v>157429</v>
      </c>
      <c r="G17" s="30">
        <f t="shared" si="1"/>
        <v>7.0000000000000007E-2</v>
      </c>
      <c r="H17" s="1" t="s">
        <v>83</v>
      </c>
    </row>
    <row r="18" spans="1:8" ht="15" customHeight="1" x14ac:dyDescent="0.25">
      <c r="A18" s="22" t="s">
        <v>10</v>
      </c>
      <c r="B18" s="40">
        <v>45682</v>
      </c>
      <c r="C18" s="6">
        <v>52814</v>
      </c>
      <c r="D18" s="6">
        <v>41973</v>
      </c>
      <c r="F18" s="16">
        <f t="shared" ref="F18:F22" si="2">B18-C18</f>
        <v>-7132</v>
      </c>
      <c r="G18" s="30">
        <f t="shared" si="1"/>
        <v>-0.14000000000000001</v>
      </c>
    </row>
    <row r="19" spans="1:8" ht="15" customHeight="1" x14ac:dyDescent="0.25">
      <c r="A19" s="22" t="s">
        <v>11</v>
      </c>
      <c r="B19" s="40">
        <v>147316</v>
      </c>
      <c r="C19" s="6">
        <v>158458</v>
      </c>
      <c r="D19" s="6">
        <v>128054</v>
      </c>
      <c r="F19" s="16">
        <f t="shared" si="2"/>
        <v>-11142</v>
      </c>
      <c r="G19" s="30">
        <f t="shared" si="1"/>
        <v>-7.0000000000000007E-2</v>
      </c>
      <c r="H19" s="1" t="s">
        <v>99</v>
      </c>
    </row>
    <row r="20" spans="1:8" ht="15" customHeight="1" x14ac:dyDescent="0.25">
      <c r="A20" s="22" t="s">
        <v>12</v>
      </c>
      <c r="B20" s="40">
        <v>850197</v>
      </c>
      <c r="C20" s="6">
        <v>762246</v>
      </c>
      <c r="D20" s="6">
        <v>220277</v>
      </c>
      <c r="F20" s="16">
        <f t="shared" si="2"/>
        <v>87951</v>
      </c>
      <c r="G20" s="30">
        <f t="shared" si="1"/>
        <v>0.12</v>
      </c>
      <c r="H20" s="57"/>
    </row>
    <row r="21" spans="1:8" ht="15" customHeight="1" x14ac:dyDescent="0.25">
      <c r="A21" s="22" t="s">
        <v>9</v>
      </c>
      <c r="B21" s="67">
        <f>3551+4173905-B22+1</f>
        <v>26954</v>
      </c>
      <c r="C21" s="6">
        <f>4265173-C22</f>
        <v>114670</v>
      </c>
      <c r="D21" s="6"/>
      <c r="F21" s="16">
        <f t="shared" si="2"/>
        <v>-87716</v>
      </c>
      <c r="G21" s="30">
        <f t="shared" si="1"/>
        <v>-0.76</v>
      </c>
      <c r="H21" s="57"/>
    </row>
    <row r="22" spans="1:8" ht="17.25" x14ac:dyDescent="0.4">
      <c r="A22" s="22" t="s">
        <v>57</v>
      </c>
      <c r="B22" s="55">
        <v>4150503</v>
      </c>
      <c r="C22" s="56">
        <v>4150503</v>
      </c>
      <c r="D22" s="47">
        <f>1750+9363</f>
        <v>11113</v>
      </c>
      <c r="E22" s="48"/>
      <c r="F22" s="18">
        <f t="shared" si="2"/>
        <v>0</v>
      </c>
      <c r="G22" s="32">
        <f t="shared" si="1"/>
        <v>0</v>
      </c>
    </row>
    <row r="23" spans="1:8" ht="15" customHeight="1" x14ac:dyDescent="0.25">
      <c r="A23" s="35" t="s">
        <v>13</v>
      </c>
      <c r="B23" s="61">
        <f>SUM(B17:B22)</f>
        <v>7670412</v>
      </c>
      <c r="C23" s="61">
        <f>SUM(C17:C22)</f>
        <v>7531022</v>
      </c>
      <c r="D23" s="61">
        <f>SUM(D17:D22)</f>
        <v>2204163</v>
      </c>
      <c r="E23" s="60"/>
      <c r="F23" s="61">
        <f>SUM(F17:F22)</f>
        <v>139390</v>
      </c>
      <c r="G23" s="31">
        <f t="shared" si="1"/>
        <v>0.02</v>
      </c>
    </row>
    <row r="24" spans="1:8" ht="8.1" customHeight="1" x14ac:dyDescent="0.25">
      <c r="A24" s="35"/>
      <c r="B24" s="63"/>
      <c r="C24" s="59"/>
      <c r="D24" s="59"/>
      <c r="E24" s="60"/>
      <c r="F24" s="60"/>
      <c r="G24" s="30"/>
    </row>
    <row r="25" spans="1:8" ht="15" customHeight="1" x14ac:dyDescent="0.25">
      <c r="A25" s="35" t="s">
        <v>14</v>
      </c>
      <c r="B25" s="61">
        <f>+B23+B14</f>
        <v>10755251</v>
      </c>
      <c r="C25" s="61">
        <f>+C23+C14</f>
        <v>10793649</v>
      </c>
      <c r="D25" s="61">
        <f>+D23+D14</f>
        <v>5005293</v>
      </c>
      <c r="E25" s="60"/>
      <c r="F25" s="61">
        <f>+F23+F14</f>
        <v>-38398</v>
      </c>
      <c r="G25" s="31">
        <f t="shared" si="1"/>
        <v>0</v>
      </c>
    </row>
    <row r="26" spans="1:8" ht="8.1" customHeight="1" x14ac:dyDescent="0.25">
      <c r="A26" s="22"/>
      <c r="B26" s="40"/>
      <c r="C26" s="6"/>
      <c r="D26" s="6"/>
      <c r="F26" s="16"/>
      <c r="G26" s="30"/>
    </row>
    <row r="27" spans="1:8" ht="15" customHeight="1" x14ac:dyDescent="0.25">
      <c r="A27" s="23" t="s">
        <v>15</v>
      </c>
      <c r="B27" s="41"/>
      <c r="C27" s="7"/>
      <c r="D27" s="7"/>
      <c r="F27" s="16"/>
      <c r="G27" s="30"/>
    </row>
    <row r="28" spans="1:8" ht="15" customHeight="1" x14ac:dyDescent="0.25">
      <c r="A28" s="22" t="s">
        <v>16</v>
      </c>
      <c r="B28" s="40">
        <f>114687.6*8</f>
        <v>917501</v>
      </c>
      <c r="C28" s="16">
        <v>917501</v>
      </c>
      <c r="D28" s="6">
        <f>(105271.83*6)-100000</f>
        <v>531631</v>
      </c>
      <c r="E28" s="4"/>
      <c r="F28" s="16">
        <f t="shared" ref="F28:F31" si="3">B28-C28</f>
        <v>0</v>
      </c>
      <c r="G28" s="30">
        <f t="shared" si="1"/>
        <v>0</v>
      </c>
    </row>
    <row r="29" spans="1:8" ht="15" customHeight="1" x14ac:dyDescent="0.25">
      <c r="A29" s="22" t="s">
        <v>17</v>
      </c>
      <c r="B29" s="40">
        <f>5845773-B28</f>
        <v>4928272</v>
      </c>
      <c r="C29" s="16">
        <f>2726219-C28</f>
        <v>1808718</v>
      </c>
      <c r="D29" s="6">
        <f>2743896-D28</f>
        <v>2212265</v>
      </c>
      <c r="F29" s="16">
        <f t="shared" si="3"/>
        <v>3119554</v>
      </c>
      <c r="G29" s="30">
        <f>F29/C29</f>
        <v>1.72</v>
      </c>
    </row>
    <row r="30" spans="1:8" ht="17.25" x14ac:dyDescent="0.4">
      <c r="A30" s="22" t="s">
        <v>18</v>
      </c>
      <c r="B30" s="46">
        <v>121526</v>
      </c>
      <c r="C30" s="18">
        <v>108086</v>
      </c>
      <c r="D30" s="47">
        <v>19285</v>
      </c>
      <c r="E30" s="48"/>
      <c r="F30" s="18">
        <f t="shared" si="3"/>
        <v>13440</v>
      </c>
      <c r="G30" s="32">
        <f t="shared" si="1"/>
        <v>0.12</v>
      </c>
    </row>
    <row r="31" spans="1:8" ht="15" customHeight="1" x14ac:dyDescent="0.25">
      <c r="A31" s="34" t="s">
        <v>19</v>
      </c>
      <c r="B31" s="61">
        <f>SUM(B28:B30)</f>
        <v>5967299</v>
      </c>
      <c r="C31" s="61">
        <f>SUM(C28:C30)</f>
        <v>2834305</v>
      </c>
      <c r="D31" s="61">
        <f>SUM(D28:D30)</f>
        <v>2763181</v>
      </c>
      <c r="E31" s="60"/>
      <c r="F31" s="62">
        <f t="shared" si="3"/>
        <v>3132994</v>
      </c>
      <c r="G31" s="31">
        <f t="shared" si="1"/>
        <v>1.1100000000000001</v>
      </c>
    </row>
    <row r="32" spans="1:8" ht="8.1" customHeight="1" x14ac:dyDescent="0.25">
      <c r="A32" s="22"/>
      <c r="B32" s="58"/>
      <c r="C32" s="59"/>
      <c r="D32" s="59"/>
      <c r="E32" s="60"/>
      <c r="F32" s="60"/>
      <c r="G32" s="30"/>
    </row>
    <row r="33" spans="1:8" ht="15.95" customHeight="1" x14ac:dyDescent="0.25">
      <c r="A33" s="70" t="s">
        <v>61</v>
      </c>
      <c r="B33" s="71">
        <f>B31+B25</f>
        <v>16722550</v>
      </c>
      <c r="C33" s="71">
        <f>C31+C25</f>
        <v>13627954</v>
      </c>
      <c r="D33" s="59"/>
      <c r="E33" s="60"/>
      <c r="F33" s="62">
        <f>B33-C33</f>
        <v>3094596</v>
      </c>
      <c r="G33" s="31">
        <f>F33/C33</f>
        <v>0.23</v>
      </c>
    </row>
    <row r="34" spans="1:8" ht="8.1" customHeight="1" x14ac:dyDescent="0.25">
      <c r="A34" s="22"/>
      <c r="B34" s="58"/>
      <c r="C34" s="59"/>
      <c r="D34" s="59"/>
      <c r="E34" s="60"/>
      <c r="F34" s="60"/>
      <c r="G34" s="30"/>
    </row>
    <row r="35" spans="1:8" s="5" customFormat="1" ht="15" customHeight="1" x14ac:dyDescent="0.25">
      <c r="A35" s="36" t="s">
        <v>49</v>
      </c>
      <c r="B35" s="64">
        <f>B33-B22</f>
        <v>12572047</v>
      </c>
      <c r="C35" s="64">
        <f>C33-C22</f>
        <v>9477451</v>
      </c>
      <c r="D35" s="64">
        <f>+D31+D25</f>
        <v>7768474</v>
      </c>
      <c r="E35" s="65"/>
      <c r="F35" s="62">
        <f>B35-C35</f>
        <v>3094596</v>
      </c>
      <c r="G35" s="31">
        <f>F35/C35</f>
        <v>0.33</v>
      </c>
    </row>
    <row r="36" spans="1:8" ht="8.1" customHeight="1" x14ac:dyDescent="0.25">
      <c r="A36" s="24"/>
      <c r="B36" s="42"/>
      <c r="C36" s="11"/>
      <c r="D36" s="11"/>
      <c r="F36" s="16"/>
      <c r="G36" s="30"/>
    </row>
    <row r="37" spans="1:8" ht="15" customHeight="1" x14ac:dyDescent="0.25">
      <c r="A37" s="68" t="s">
        <v>59</v>
      </c>
      <c r="B37" s="20">
        <f>(B28+B29)/B35</f>
        <v>0.46500000000000002</v>
      </c>
      <c r="C37" s="20">
        <f>(C28+C29)/C35</f>
        <v>0.28799999999999998</v>
      </c>
      <c r="D37" s="20">
        <f>(D29+D28)/D35</f>
        <v>0.35299999999999998</v>
      </c>
      <c r="E37" s="20"/>
      <c r="F37" s="20"/>
      <c r="G37" s="30"/>
    </row>
    <row r="38" spans="1:8" ht="8.1" customHeight="1" x14ac:dyDescent="0.25">
      <c r="A38" s="22"/>
      <c r="B38" s="40"/>
      <c r="C38" s="19"/>
      <c r="D38" s="19"/>
      <c r="F38" s="16"/>
      <c r="G38" s="30"/>
    </row>
    <row r="39" spans="1:8" ht="15" customHeight="1" x14ac:dyDescent="0.25">
      <c r="A39" s="23" t="s">
        <v>20</v>
      </c>
      <c r="B39" s="41"/>
      <c r="C39" s="12"/>
      <c r="D39" s="12"/>
      <c r="F39" s="16"/>
      <c r="G39" s="30"/>
    </row>
    <row r="40" spans="1:8" ht="15" customHeight="1" x14ac:dyDescent="0.25">
      <c r="A40" s="25" t="s">
        <v>21</v>
      </c>
      <c r="B40" s="43"/>
      <c r="C40" s="8"/>
      <c r="D40" s="8"/>
      <c r="F40" s="16"/>
      <c r="G40" s="30"/>
    </row>
    <row r="41" spans="1:8" ht="15" customHeight="1" x14ac:dyDescent="0.25">
      <c r="A41" s="22" t="s">
        <v>41</v>
      </c>
      <c r="B41" s="58">
        <f>2298849+6285</f>
        <v>2305134</v>
      </c>
      <c r="C41" s="59">
        <f>2659152+11000</f>
        <v>2670152</v>
      </c>
      <c r="D41" s="59">
        <f>1430463+17750</f>
        <v>1448213</v>
      </c>
      <c r="E41" s="60"/>
      <c r="F41" s="60">
        <f>B41-C41</f>
        <v>-365018</v>
      </c>
      <c r="G41" s="30">
        <f>F41/C41</f>
        <v>-0.14000000000000001</v>
      </c>
      <c r="H41" s="57" t="s">
        <v>82</v>
      </c>
    </row>
    <row r="42" spans="1:8" ht="15" customHeight="1" x14ac:dyDescent="0.25">
      <c r="A42" s="22" t="s">
        <v>10</v>
      </c>
      <c r="B42" s="40">
        <v>48370</v>
      </c>
      <c r="C42" s="6">
        <v>65504</v>
      </c>
      <c r="D42" s="6">
        <v>37860</v>
      </c>
      <c r="F42" s="16">
        <f>B42-C42</f>
        <v>-17134</v>
      </c>
      <c r="G42" s="30">
        <f>F42/C42</f>
        <v>-0.26</v>
      </c>
    </row>
    <row r="43" spans="1:8" ht="15" customHeight="1" x14ac:dyDescent="0.25">
      <c r="A43" s="22" t="s">
        <v>22</v>
      </c>
      <c r="B43" s="40">
        <v>3360</v>
      </c>
      <c r="C43" s="6">
        <v>4104</v>
      </c>
      <c r="D43" s="6">
        <v>2520</v>
      </c>
      <c r="F43" s="16">
        <f t="shared" ref="F43:F66" si="4">B43-C43</f>
        <v>-744</v>
      </c>
      <c r="G43" s="30">
        <f t="shared" si="1"/>
        <v>-0.18</v>
      </c>
    </row>
    <row r="44" spans="1:8" ht="17.25" x14ac:dyDescent="0.4">
      <c r="A44" s="22" t="s">
        <v>23</v>
      </c>
      <c r="B44" s="46">
        <v>189</v>
      </c>
      <c r="C44" s="56">
        <v>50240</v>
      </c>
      <c r="D44" s="50">
        <v>29247</v>
      </c>
      <c r="E44" s="51"/>
      <c r="F44" s="49">
        <f t="shared" si="4"/>
        <v>-50051</v>
      </c>
      <c r="G44" s="32">
        <f t="shared" si="1"/>
        <v>-1</v>
      </c>
    </row>
    <row r="45" spans="1:8" ht="15" customHeight="1" x14ac:dyDescent="0.25">
      <c r="A45" s="35" t="s">
        <v>24</v>
      </c>
      <c r="B45" s="61">
        <f>SUM(B41:B44)</f>
        <v>2357053</v>
      </c>
      <c r="C45" s="61">
        <f>SUM(C41:C44)</f>
        <v>2790000</v>
      </c>
      <c r="D45" s="61">
        <f>SUM(D41:D44)</f>
        <v>1517840</v>
      </c>
      <c r="E45" s="60"/>
      <c r="F45" s="62">
        <f t="shared" si="4"/>
        <v>-432947</v>
      </c>
      <c r="G45" s="31">
        <f t="shared" si="1"/>
        <v>-0.16</v>
      </c>
    </row>
    <row r="46" spans="1:8" ht="8.1" customHeight="1" x14ac:dyDescent="0.25">
      <c r="A46" s="22"/>
      <c r="B46" s="40"/>
      <c r="C46" s="6"/>
      <c r="D46" s="6"/>
      <c r="F46" s="16"/>
      <c r="G46" s="30"/>
    </row>
    <row r="47" spans="1:8" ht="15" customHeight="1" x14ac:dyDescent="0.25">
      <c r="A47" s="25" t="s">
        <v>25</v>
      </c>
      <c r="B47" s="43"/>
      <c r="C47" s="8"/>
      <c r="D47" s="8"/>
      <c r="F47" s="16"/>
      <c r="G47" s="30"/>
    </row>
    <row r="48" spans="1:8" ht="15" customHeight="1" x14ac:dyDescent="0.25">
      <c r="A48" s="22" t="s">
        <v>26</v>
      </c>
      <c r="B48" s="40">
        <v>5193</v>
      </c>
      <c r="C48" s="6">
        <v>25464</v>
      </c>
      <c r="D48" s="6">
        <v>10622</v>
      </c>
      <c r="F48" s="16">
        <f t="shared" si="4"/>
        <v>-20271</v>
      </c>
      <c r="G48" s="30">
        <f t="shared" si="1"/>
        <v>-0.8</v>
      </c>
    </row>
    <row r="49" spans="1:8" ht="15" customHeight="1" x14ac:dyDescent="0.25">
      <c r="A49" s="22" t="s">
        <v>27</v>
      </c>
      <c r="B49" s="40">
        <v>1058464</v>
      </c>
      <c r="C49" s="6">
        <v>1134680</v>
      </c>
      <c r="D49" s="6">
        <v>577676</v>
      </c>
      <c r="F49" s="16">
        <f t="shared" si="4"/>
        <v>-76216</v>
      </c>
      <c r="G49" s="30">
        <f t="shared" si="1"/>
        <v>-7.0000000000000007E-2</v>
      </c>
    </row>
    <row r="50" spans="1:8" ht="15" customHeight="1" x14ac:dyDescent="0.25">
      <c r="A50" s="22" t="s">
        <v>28</v>
      </c>
      <c r="B50" s="40">
        <v>5394</v>
      </c>
      <c r="C50" s="6">
        <v>65688</v>
      </c>
      <c r="D50" s="6">
        <v>54488</v>
      </c>
      <c r="F50" s="16">
        <f t="shared" si="4"/>
        <v>-60294</v>
      </c>
      <c r="G50" s="30">
        <f t="shared" si="1"/>
        <v>-0.92</v>
      </c>
      <c r="H50" s="1" t="s">
        <v>106</v>
      </c>
    </row>
    <row r="51" spans="1:8" ht="15" customHeight="1" x14ac:dyDescent="0.25">
      <c r="A51" s="22" t="s">
        <v>29</v>
      </c>
      <c r="B51" s="40">
        <v>228920</v>
      </c>
      <c r="C51" s="6">
        <v>221088</v>
      </c>
      <c r="D51" s="6">
        <v>170884</v>
      </c>
      <c r="F51" s="16">
        <f t="shared" si="4"/>
        <v>7832</v>
      </c>
      <c r="G51" s="30">
        <f t="shared" si="1"/>
        <v>0.04</v>
      </c>
    </row>
    <row r="52" spans="1:8" ht="15" customHeight="1" x14ac:dyDescent="0.25">
      <c r="A52" s="22" t="s">
        <v>63</v>
      </c>
      <c r="B52" s="40">
        <v>0</v>
      </c>
      <c r="C52" s="6">
        <v>4000</v>
      </c>
      <c r="D52" s="6"/>
      <c r="F52" s="16">
        <f t="shared" si="4"/>
        <v>-4000</v>
      </c>
      <c r="G52" s="30">
        <v>-1</v>
      </c>
    </row>
    <row r="53" spans="1:8" ht="15" customHeight="1" x14ac:dyDescent="0.25">
      <c r="A53" s="22" t="s">
        <v>30</v>
      </c>
      <c r="B53" s="40">
        <v>162575</v>
      </c>
      <c r="C53" s="6">
        <v>107016</v>
      </c>
      <c r="D53" s="6">
        <v>91440</v>
      </c>
      <c r="F53" s="16">
        <f t="shared" si="4"/>
        <v>55559</v>
      </c>
      <c r="G53" s="30">
        <f t="shared" si="1"/>
        <v>0.52</v>
      </c>
      <c r="H53" s="1" t="s">
        <v>79</v>
      </c>
    </row>
    <row r="54" spans="1:8" ht="15" customHeight="1" x14ac:dyDescent="0.25">
      <c r="A54" s="22" t="s">
        <v>44</v>
      </c>
      <c r="B54" s="40">
        <v>1886283</v>
      </c>
      <c r="C54" s="6">
        <v>2908080</v>
      </c>
      <c r="D54" s="6">
        <v>638264</v>
      </c>
      <c r="F54" s="16">
        <f t="shared" si="4"/>
        <v>-1021797</v>
      </c>
      <c r="G54" s="30">
        <f t="shared" si="1"/>
        <v>-0.35</v>
      </c>
      <c r="H54" s="57" t="s">
        <v>78</v>
      </c>
    </row>
    <row r="55" spans="1:8" ht="15" customHeight="1" x14ac:dyDescent="0.25">
      <c r="A55" s="22" t="s">
        <v>31</v>
      </c>
      <c r="B55" s="40">
        <v>3106671</v>
      </c>
      <c r="C55" s="6">
        <v>2980696</v>
      </c>
      <c r="D55" s="6">
        <v>1938517</v>
      </c>
      <c r="F55" s="16">
        <f t="shared" si="4"/>
        <v>125975</v>
      </c>
      <c r="G55" s="30">
        <f t="shared" si="1"/>
        <v>0.04</v>
      </c>
      <c r="H55" s="1" t="s">
        <v>52</v>
      </c>
    </row>
    <row r="56" spans="1:8" ht="17.25" x14ac:dyDescent="0.4">
      <c r="A56" s="22" t="s">
        <v>32</v>
      </c>
      <c r="B56" s="46">
        <v>54949</v>
      </c>
      <c r="C56" s="56">
        <v>66328</v>
      </c>
      <c r="D56" s="50">
        <v>14273</v>
      </c>
      <c r="E56" s="51"/>
      <c r="F56" s="49">
        <f t="shared" si="4"/>
        <v>-11379</v>
      </c>
      <c r="G56" s="32">
        <f t="shared" si="1"/>
        <v>-0.17</v>
      </c>
    </row>
    <row r="57" spans="1:8" ht="15" customHeight="1" x14ac:dyDescent="0.25">
      <c r="A57" s="35" t="s">
        <v>33</v>
      </c>
      <c r="B57" s="61">
        <f>SUM(B48:B56)</f>
        <v>6508449</v>
      </c>
      <c r="C57" s="61">
        <f>SUM(C48:C56)</f>
        <v>7513040</v>
      </c>
      <c r="D57" s="61">
        <f>SUM(D48:D56)</f>
        <v>3496164</v>
      </c>
      <c r="E57" s="60"/>
      <c r="F57" s="62">
        <f t="shared" si="4"/>
        <v>-1004591</v>
      </c>
      <c r="G57" s="31">
        <f t="shared" si="1"/>
        <v>-0.13</v>
      </c>
    </row>
    <row r="58" spans="1:8" ht="8.1" customHeight="1" x14ac:dyDescent="0.25">
      <c r="A58" s="22"/>
      <c r="B58" s="40"/>
      <c r="C58" s="6"/>
      <c r="D58" s="6"/>
      <c r="F58" s="16"/>
      <c r="G58" s="30"/>
    </row>
    <row r="59" spans="1:8" ht="15" customHeight="1" x14ac:dyDescent="0.25">
      <c r="A59" s="25" t="s">
        <v>34</v>
      </c>
      <c r="B59" s="43"/>
      <c r="C59" s="8" t="s">
        <v>1</v>
      </c>
      <c r="D59" s="8"/>
      <c r="F59" s="16"/>
      <c r="G59" s="30"/>
    </row>
    <row r="60" spans="1:8" ht="15" customHeight="1" x14ac:dyDescent="0.25">
      <c r="A60" s="22" t="s">
        <v>35</v>
      </c>
      <c r="B60" s="40">
        <v>13975</v>
      </c>
      <c r="C60" s="6">
        <v>35272</v>
      </c>
      <c r="D60" s="6">
        <v>3301</v>
      </c>
      <c r="F60" s="16">
        <f t="shared" si="4"/>
        <v>-21297</v>
      </c>
      <c r="G60" s="30">
        <f t="shared" si="1"/>
        <v>-0.6</v>
      </c>
    </row>
    <row r="61" spans="1:8" ht="15" customHeight="1" x14ac:dyDescent="0.25">
      <c r="A61" s="22" t="s">
        <v>36</v>
      </c>
      <c r="B61" s="40">
        <v>11127</v>
      </c>
      <c r="C61" s="6">
        <v>15128</v>
      </c>
      <c r="D61" s="6">
        <v>13427</v>
      </c>
      <c r="F61" s="16">
        <f t="shared" si="4"/>
        <v>-4001</v>
      </c>
      <c r="G61" s="30">
        <f t="shared" si="1"/>
        <v>-0.26</v>
      </c>
    </row>
    <row r="62" spans="1:8" ht="15" customHeight="1" x14ac:dyDescent="0.25">
      <c r="A62" s="22" t="s">
        <v>37</v>
      </c>
      <c r="B62" s="40">
        <v>111347</v>
      </c>
      <c r="C62" s="6">
        <v>74800</v>
      </c>
      <c r="D62" s="6">
        <v>28946</v>
      </c>
      <c r="F62" s="16">
        <f t="shared" si="4"/>
        <v>36547</v>
      </c>
      <c r="G62" s="30">
        <f t="shared" si="1"/>
        <v>0.49</v>
      </c>
      <c r="H62" s="1" t="s">
        <v>107</v>
      </c>
    </row>
    <row r="63" spans="1:8" ht="17.25" x14ac:dyDescent="0.4">
      <c r="A63" s="22" t="s">
        <v>38</v>
      </c>
      <c r="B63" s="46">
        <v>100288</v>
      </c>
      <c r="C63" s="50">
        <v>105920</v>
      </c>
      <c r="D63" s="50">
        <v>50079</v>
      </c>
      <c r="E63" s="51"/>
      <c r="F63" s="49">
        <f t="shared" si="4"/>
        <v>-5632</v>
      </c>
      <c r="G63" s="32">
        <f t="shared" si="1"/>
        <v>-0.05</v>
      </c>
    </row>
    <row r="64" spans="1:8" ht="15" customHeight="1" x14ac:dyDescent="0.25">
      <c r="A64" s="35" t="s">
        <v>39</v>
      </c>
      <c r="B64" s="61">
        <f>SUM(B60:B63)</f>
        <v>236737</v>
      </c>
      <c r="C64" s="61">
        <f>SUM(C60:C63)</f>
        <v>231120</v>
      </c>
      <c r="D64" s="61">
        <f>SUM(D60:D63)</f>
        <v>95753</v>
      </c>
      <c r="E64" s="60"/>
      <c r="F64" s="62">
        <f t="shared" si="4"/>
        <v>5617</v>
      </c>
      <c r="G64" s="31">
        <f t="shared" si="1"/>
        <v>0.02</v>
      </c>
    </row>
    <row r="65" spans="1:7" ht="8.1" customHeight="1" x14ac:dyDescent="0.25">
      <c r="A65" s="22"/>
      <c r="B65" s="59"/>
      <c r="C65" s="59"/>
      <c r="D65" s="59"/>
      <c r="E65" s="60"/>
      <c r="F65" s="60"/>
      <c r="G65" s="30"/>
    </row>
    <row r="66" spans="1:7" s="5" customFormat="1" ht="15" customHeight="1" x14ac:dyDescent="0.25">
      <c r="A66" s="37" t="s">
        <v>50</v>
      </c>
      <c r="B66" s="61">
        <f>+B64+B57+B45</f>
        <v>9102239</v>
      </c>
      <c r="C66" s="61">
        <f>+C64+C57+C45</f>
        <v>10534160</v>
      </c>
      <c r="D66" s="61">
        <f>+D64+D57+D45</f>
        <v>5109757</v>
      </c>
      <c r="E66" s="59"/>
      <c r="F66" s="62">
        <f t="shared" si="4"/>
        <v>-1431921</v>
      </c>
      <c r="G66" s="31">
        <f t="shared" si="1"/>
        <v>-0.14000000000000001</v>
      </c>
    </row>
    <row r="67" spans="1:7" ht="8.1" customHeight="1" x14ac:dyDescent="0.25">
      <c r="A67" s="26"/>
      <c r="B67" s="61"/>
      <c r="C67" s="61"/>
      <c r="D67" s="61"/>
      <c r="E67" s="60"/>
      <c r="F67" s="60"/>
      <c r="G67" s="31"/>
    </row>
    <row r="68" spans="1:7" s="5" customFormat="1" ht="15" customHeight="1" x14ac:dyDescent="0.25">
      <c r="A68" s="69" t="s">
        <v>60</v>
      </c>
      <c r="B68" s="61">
        <f>B35-B66</f>
        <v>3469808</v>
      </c>
      <c r="C68" s="61">
        <f>C35-C66</f>
        <v>-1056709</v>
      </c>
      <c r="D68" s="61">
        <f>D35-D66</f>
        <v>2658717</v>
      </c>
      <c r="E68" s="59"/>
      <c r="F68" s="61">
        <f>B68-C68</f>
        <v>4526517</v>
      </c>
      <c r="G68" s="31">
        <f>-F68/C68</f>
        <v>4.28</v>
      </c>
    </row>
    <row r="69" spans="1:7" ht="8.1" customHeight="1" x14ac:dyDescent="0.25">
      <c r="A69" s="22"/>
      <c r="B69" s="3"/>
      <c r="C69" s="3"/>
      <c r="D69" s="3"/>
      <c r="F69" s="16"/>
      <c r="G69" s="31"/>
    </row>
    <row r="70" spans="1:7" s="5" customFormat="1" ht="15" customHeight="1" x14ac:dyDescent="0.25">
      <c r="A70" s="27" t="s">
        <v>62</v>
      </c>
      <c r="B70" s="38">
        <f>B68/B35</f>
        <v>0.27600000000000002</v>
      </c>
      <c r="C70" s="38">
        <f>C68/C35</f>
        <v>-0.111</v>
      </c>
      <c r="D70" s="13">
        <f>+D68/D35</f>
        <v>0.34200000000000003</v>
      </c>
      <c r="F70" s="20"/>
      <c r="G70" s="31"/>
    </row>
    <row r="71" spans="1:7" ht="8.1" customHeight="1" x14ac:dyDescent="0.25">
      <c r="A71" s="22"/>
      <c r="G71" s="31"/>
    </row>
    <row r="72" spans="1:7" x14ac:dyDescent="0.25">
      <c r="A72" s="69" t="s">
        <v>103</v>
      </c>
      <c r="B72" s="74">
        <f>B33-B66</f>
        <v>7620311</v>
      </c>
      <c r="C72" s="74">
        <f>C33-C66</f>
        <v>3093794</v>
      </c>
      <c r="F72" s="61">
        <f>B72-C72</f>
        <v>4526517</v>
      </c>
      <c r="G72" s="31">
        <f t="shared" ref="G72" si="5">F72/C72</f>
        <v>1.46</v>
      </c>
    </row>
    <row r="73" spans="1:7" x14ac:dyDescent="0.25">
      <c r="A73" s="27" t="s">
        <v>102</v>
      </c>
      <c r="B73" s="73">
        <f>B72/B33</f>
        <v>0.45600000000000002</v>
      </c>
      <c r="C73" s="73">
        <f>C72/C33</f>
        <v>0.22700000000000001</v>
      </c>
      <c r="G73" s="33"/>
    </row>
    <row r="74" spans="1:7" x14ac:dyDescent="0.25">
      <c r="A74" s="22"/>
      <c r="B74" s="40"/>
      <c r="G74" s="33"/>
    </row>
    <row r="75" spans="1:7" x14ac:dyDescent="0.25">
      <c r="A75" s="29" t="s">
        <v>40</v>
      </c>
      <c r="B75" s="44"/>
      <c r="C75" s="1" t="s">
        <v>53</v>
      </c>
      <c r="G75" s="33"/>
    </row>
    <row r="76" spans="1:7" x14ac:dyDescent="0.25">
      <c r="A76" s="22"/>
      <c r="B76" s="40"/>
      <c r="C76" s="1" t="s">
        <v>105</v>
      </c>
      <c r="G76" s="33"/>
    </row>
    <row r="77" spans="1:7" x14ac:dyDescent="0.25">
      <c r="A77" s="22"/>
      <c r="B77" s="40"/>
      <c r="G77" s="33"/>
    </row>
    <row r="78" spans="1:7" x14ac:dyDescent="0.25">
      <c r="B78" s="45"/>
      <c r="G78" s="33"/>
    </row>
    <row r="79" spans="1:7" x14ac:dyDescent="0.25">
      <c r="B79" s="45"/>
      <c r="C79" s="17"/>
      <c r="G79" s="33"/>
    </row>
    <row r="80" spans="1:7" x14ac:dyDescent="0.25">
      <c r="B80" s="45"/>
    </row>
    <row r="81" spans="2:2" x14ac:dyDescent="0.25">
      <c r="B81" s="45"/>
    </row>
  </sheetData>
  <mergeCells count="4">
    <mergeCell ref="A1:G1"/>
    <mergeCell ref="A2:G2"/>
    <mergeCell ref="A3:G3"/>
    <mergeCell ref="F5:G5"/>
  </mergeCells>
  <printOptions gridLines="1"/>
  <pageMargins left="0" right="0" top="0" bottom="0" header="0" footer="0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61ED-90DF-4448-A83D-5EA34956D50A}">
  <sheetPr>
    <pageSetUpPr fitToPage="1"/>
  </sheetPr>
  <dimension ref="A1:F73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5" x14ac:dyDescent="0.25"/>
  <cols>
    <col min="1" max="1" width="38.5" style="5" customWidth="1"/>
    <col min="2" max="2" width="18.625" style="5" customWidth="1"/>
    <col min="3" max="3" width="18.625" style="5" hidden="1" customWidth="1"/>
    <col min="4" max="5" width="18.625" style="5" customWidth="1"/>
    <col min="6" max="6" width="1.625" style="5" customWidth="1"/>
    <col min="7" max="16384" width="9" style="5"/>
  </cols>
  <sheetData>
    <row r="1" spans="1:6" ht="14.25" customHeight="1" x14ac:dyDescent="0.25">
      <c r="A1" s="107" t="s">
        <v>0</v>
      </c>
      <c r="B1" s="107"/>
      <c r="C1" s="107"/>
      <c r="D1" s="107"/>
      <c r="E1" s="107"/>
      <c r="F1" s="95"/>
    </row>
    <row r="2" spans="1:6" ht="14.45" customHeight="1" x14ac:dyDescent="0.25">
      <c r="A2" s="107" t="s">
        <v>111</v>
      </c>
      <c r="B2" s="107"/>
      <c r="C2" s="107"/>
      <c r="D2" s="107"/>
      <c r="E2" s="107"/>
      <c r="F2" s="95"/>
    </row>
    <row r="3" spans="1:6" ht="14.45" customHeight="1" x14ac:dyDescent="0.25">
      <c r="A3" s="107" t="s">
        <v>116</v>
      </c>
      <c r="B3" s="107"/>
      <c r="C3" s="107"/>
      <c r="D3" s="107"/>
      <c r="E3" s="107"/>
      <c r="F3" s="95"/>
    </row>
    <row r="4" spans="1:6" x14ac:dyDescent="0.25">
      <c r="A4" s="10"/>
      <c r="B4" s="10"/>
      <c r="C4" s="10"/>
      <c r="D4" s="10"/>
      <c r="E4" s="10"/>
    </row>
    <row r="5" spans="1:6" ht="15.95" customHeight="1" x14ac:dyDescent="0.25">
      <c r="A5" s="10"/>
      <c r="B5" s="98" t="s">
        <v>115</v>
      </c>
      <c r="C5" s="98"/>
      <c r="D5" s="98" t="s">
        <v>110</v>
      </c>
      <c r="E5" s="98" t="s">
        <v>110</v>
      </c>
    </row>
    <row r="6" spans="1:6" ht="15.95" customHeight="1" thickBot="1" x14ac:dyDescent="0.3">
      <c r="A6" s="75"/>
      <c r="B6" s="99" t="s">
        <v>111</v>
      </c>
      <c r="C6" s="99" t="s">
        <v>113</v>
      </c>
      <c r="D6" s="99" t="s">
        <v>117</v>
      </c>
      <c r="E6" s="99" t="s">
        <v>111</v>
      </c>
    </row>
    <row r="7" spans="1:6" ht="15" customHeight="1" x14ac:dyDescent="0.25">
      <c r="A7" s="76" t="s">
        <v>2</v>
      </c>
      <c r="B7" s="76"/>
      <c r="C7" s="76"/>
      <c r="D7" s="2"/>
      <c r="E7" s="2"/>
    </row>
    <row r="8" spans="1:6" ht="15" customHeight="1" x14ac:dyDescent="0.25">
      <c r="A8" s="77" t="s">
        <v>3</v>
      </c>
      <c r="B8" s="78">
        <v>3417008</v>
      </c>
      <c r="C8" s="59">
        <v>2844957</v>
      </c>
      <c r="D8" s="78">
        <v>3526219</v>
      </c>
      <c r="E8" s="59">
        <v>2827813</v>
      </c>
      <c r="F8" s="59"/>
    </row>
    <row r="9" spans="1:6" ht="15" customHeight="1" x14ac:dyDescent="0.25">
      <c r="A9" s="77" t="s">
        <v>4</v>
      </c>
      <c r="B9" s="79">
        <v>1220618</v>
      </c>
      <c r="C9" s="6">
        <v>1034903</v>
      </c>
      <c r="D9" s="79">
        <v>1257319</v>
      </c>
      <c r="E9" s="6">
        <v>1034903</v>
      </c>
    </row>
    <row r="10" spans="1:6" ht="15" customHeight="1" x14ac:dyDescent="0.25">
      <c r="A10" s="77" t="s">
        <v>5</v>
      </c>
      <c r="B10" s="79">
        <v>545839</v>
      </c>
      <c r="C10" s="6">
        <v>501385</v>
      </c>
      <c r="D10" s="79">
        <v>555240</v>
      </c>
      <c r="E10" s="6">
        <v>501385</v>
      </c>
    </row>
    <row r="11" spans="1:6" ht="15" customHeight="1" x14ac:dyDescent="0.25">
      <c r="A11" s="77" t="s">
        <v>6</v>
      </c>
      <c r="B11" s="79">
        <v>33944</v>
      </c>
      <c r="C11" s="6">
        <v>33145</v>
      </c>
      <c r="D11" s="79">
        <v>40243</v>
      </c>
      <c r="E11" s="6">
        <v>33145</v>
      </c>
    </row>
    <row r="12" spans="1:6" ht="15" customHeight="1" x14ac:dyDescent="0.25">
      <c r="A12" s="77" t="s">
        <v>42</v>
      </c>
      <c r="B12" s="79">
        <v>72021</v>
      </c>
      <c r="C12" s="6">
        <v>64038</v>
      </c>
      <c r="D12" s="79">
        <v>72252</v>
      </c>
      <c r="E12" s="6">
        <v>63408</v>
      </c>
    </row>
    <row r="13" spans="1:6" ht="17.25" x14ac:dyDescent="0.4">
      <c r="A13" s="77" t="s">
        <v>7</v>
      </c>
      <c r="B13" s="80">
        <v>1634630</v>
      </c>
      <c r="C13" s="56">
        <v>1589930</v>
      </c>
      <c r="D13" s="81">
        <v>1589016</v>
      </c>
      <c r="E13" s="47">
        <v>1589930</v>
      </c>
      <c r="F13" s="82"/>
    </row>
    <row r="14" spans="1:6" ht="15" customHeight="1" x14ac:dyDescent="0.25">
      <c r="A14" s="83" t="s">
        <v>8</v>
      </c>
      <c r="B14" s="61">
        <v>6924060</v>
      </c>
      <c r="C14" s="61">
        <v>6068358</v>
      </c>
      <c r="D14" s="61">
        <v>7040289</v>
      </c>
      <c r="E14" s="61">
        <v>6050584</v>
      </c>
      <c r="F14" s="59"/>
    </row>
    <row r="15" spans="1:6" ht="8.1" customHeight="1" x14ac:dyDescent="0.25">
      <c r="A15" s="77"/>
      <c r="B15" s="79"/>
      <c r="C15" s="79"/>
      <c r="D15" s="79"/>
      <c r="E15" s="6"/>
    </row>
    <row r="16" spans="1:6" ht="15" customHeight="1" x14ac:dyDescent="0.25">
      <c r="A16" s="84" t="s">
        <v>9</v>
      </c>
      <c r="B16" s="85"/>
      <c r="C16" s="85"/>
      <c r="D16" s="85"/>
      <c r="E16" s="7"/>
    </row>
    <row r="17" spans="1:6" ht="15" customHeight="1" x14ac:dyDescent="0.25">
      <c r="A17" s="77" t="s">
        <v>43</v>
      </c>
      <c r="B17" s="79">
        <v>3469695</v>
      </c>
      <c r="C17" s="79">
        <v>4598483</v>
      </c>
      <c r="D17" s="79">
        <v>3828248</v>
      </c>
      <c r="E17" s="6">
        <v>3587420</v>
      </c>
    </row>
    <row r="18" spans="1:6" ht="15" customHeight="1" x14ac:dyDescent="0.25">
      <c r="A18" s="77" t="s">
        <v>10</v>
      </c>
      <c r="B18" s="79">
        <v>77933</v>
      </c>
      <c r="C18" s="79">
        <v>79122</v>
      </c>
      <c r="D18" s="79">
        <v>81781</v>
      </c>
      <c r="E18" s="6">
        <v>79122</v>
      </c>
    </row>
    <row r="19" spans="1:6" ht="15" customHeight="1" x14ac:dyDescent="0.25">
      <c r="A19" s="77" t="s">
        <v>11</v>
      </c>
      <c r="B19" s="79">
        <v>284308</v>
      </c>
      <c r="C19" s="79">
        <v>257451</v>
      </c>
      <c r="D19" s="79">
        <v>294537</v>
      </c>
      <c r="E19" s="6">
        <v>257451</v>
      </c>
    </row>
    <row r="20" spans="1:6" ht="15" customHeight="1" x14ac:dyDescent="0.25">
      <c r="A20" s="77" t="s">
        <v>12</v>
      </c>
      <c r="B20" s="79">
        <v>1497622</v>
      </c>
      <c r="C20" s="79">
        <v>1411661</v>
      </c>
      <c r="D20" s="79">
        <v>1473947</v>
      </c>
      <c r="E20" s="6">
        <v>1411661</v>
      </c>
    </row>
    <row r="21" spans="1:6" ht="15" customHeight="1" x14ac:dyDescent="0.25">
      <c r="A21" s="77" t="s">
        <v>9</v>
      </c>
      <c r="B21" s="79">
        <v>79637</v>
      </c>
      <c r="C21" s="86">
        <v>40188</v>
      </c>
      <c r="D21" s="86">
        <v>82669</v>
      </c>
      <c r="E21" s="6">
        <v>40188</v>
      </c>
    </row>
    <row r="22" spans="1:6" ht="17.25" x14ac:dyDescent="0.4">
      <c r="A22" s="77" t="s">
        <v>57</v>
      </c>
      <c r="B22" s="80">
        <v>7011621</v>
      </c>
      <c r="C22" s="56">
        <v>7011621</v>
      </c>
      <c r="D22" s="56">
        <v>7011621</v>
      </c>
      <c r="E22" s="47">
        <v>6856053</v>
      </c>
      <c r="F22" s="82"/>
    </row>
    <row r="23" spans="1:6" ht="15" customHeight="1" x14ac:dyDescent="0.25">
      <c r="A23" s="83" t="s">
        <v>13</v>
      </c>
      <c r="B23" s="61">
        <v>12420816</v>
      </c>
      <c r="C23" s="61">
        <v>13398526</v>
      </c>
      <c r="D23" s="61">
        <v>12772803</v>
      </c>
      <c r="E23" s="61">
        <v>12231895</v>
      </c>
      <c r="F23" s="59"/>
    </row>
    <row r="24" spans="1:6" ht="8.1" customHeight="1" x14ac:dyDescent="0.25">
      <c r="A24" s="83"/>
      <c r="B24" s="87"/>
      <c r="C24" s="88"/>
      <c r="D24" s="88"/>
      <c r="E24" s="59"/>
      <c r="F24" s="59"/>
    </row>
    <row r="25" spans="1:6" ht="15" customHeight="1" x14ac:dyDescent="0.25">
      <c r="A25" s="83" t="s">
        <v>14</v>
      </c>
      <c r="B25" s="61">
        <v>19344876</v>
      </c>
      <c r="C25" s="61">
        <v>19466884</v>
      </c>
      <c r="D25" s="61">
        <v>19813092</v>
      </c>
      <c r="E25" s="61">
        <v>18282479</v>
      </c>
      <c r="F25" s="59"/>
    </row>
    <row r="26" spans="1:6" ht="8.1" customHeight="1" x14ac:dyDescent="0.25">
      <c r="A26" s="77"/>
      <c r="B26" s="79"/>
      <c r="C26" s="79"/>
      <c r="D26" s="79"/>
      <c r="E26" s="6"/>
    </row>
    <row r="27" spans="1:6" ht="15" customHeight="1" x14ac:dyDescent="0.25">
      <c r="A27" s="84" t="s">
        <v>15</v>
      </c>
      <c r="B27" s="85"/>
      <c r="C27" s="85"/>
      <c r="D27" s="85"/>
      <c r="E27" s="7"/>
    </row>
    <row r="28" spans="1:6" ht="15" customHeight="1" x14ac:dyDescent="0.25">
      <c r="A28" s="77" t="s">
        <v>16</v>
      </c>
      <c r="B28" s="79">
        <v>1505184</v>
      </c>
      <c r="C28" s="79">
        <v>1462176</v>
      </c>
      <c r="D28" s="79">
        <v>1433508</v>
      </c>
      <c r="E28" s="6">
        <v>1433508</v>
      </c>
      <c r="F28" s="89"/>
    </row>
    <row r="29" spans="1:6" ht="15" customHeight="1" x14ac:dyDescent="0.25">
      <c r="A29" s="77" t="s">
        <v>17</v>
      </c>
      <c r="B29" s="79">
        <v>7950000</v>
      </c>
      <c r="C29" s="79">
        <v>7450000</v>
      </c>
      <c r="D29" s="79">
        <v>8132977</v>
      </c>
      <c r="E29" s="6">
        <v>7450000</v>
      </c>
    </row>
    <row r="30" spans="1:6" ht="17.25" x14ac:dyDescent="0.4">
      <c r="A30" s="77" t="s">
        <v>18</v>
      </c>
      <c r="B30" s="80">
        <v>1056987</v>
      </c>
      <c r="C30" s="81">
        <v>158765</v>
      </c>
      <c r="D30" s="81">
        <v>152001</v>
      </c>
      <c r="E30" s="47">
        <v>157800</v>
      </c>
      <c r="F30" s="82"/>
    </row>
    <row r="31" spans="1:6" ht="15" customHeight="1" x14ac:dyDescent="0.25">
      <c r="A31" s="100" t="s">
        <v>19</v>
      </c>
      <c r="B31" s="61">
        <v>10512171</v>
      </c>
      <c r="C31" s="61">
        <v>9070941</v>
      </c>
      <c r="D31" s="61">
        <v>9718486</v>
      </c>
      <c r="E31" s="61">
        <v>9041308</v>
      </c>
      <c r="F31" s="59"/>
    </row>
    <row r="32" spans="1:6" ht="8.1" customHeight="1" x14ac:dyDescent="0.25">
      <c r="A32" s="100"/>
      <c r="B32" s="61"/>
      <c r="C32" s="61"/>
      <c r="D32" s="61"/>
      <c r="E32" s="61"/>
      <c r="F32" s="59"/>
    </row>
    <row r="33" spans="1:6" ht="15" hidden="1" customHeight="1" x14ac:dyDescent="0.25">
      <c r="A33" s="100" t="s">
        <v>118</v>
      </c>
      <c r="B33" s="101">
        <v>0.317</v>
      </c>
      <c r="C33" s="102"/>
      <c r="D33" s="101">
        <v>0.32400000000000001</v>
      </c>
      <c r="E33" s="101">
        <v>0.32500000000000001</v>
      </c>
      <c r="F33" s="59"/>
    </row>
    <row r="34" spans="1:6" ht="15.95" customHeight="1" x14ac:dyDescent="0.25">
      <c r="A34" s="103" t="s">
        <v>61</v>
      </c>
      <c r="B34" s="90">
        <v>29857047</v>
      </c>
      <c r="C34" s="90">
        <v>28537825</v>
      </c>
      <c r="D34" s="90">
        <v>29531578</v>
      </c>
      <c r="E34" s="90">
        <v>27323787</v>
      </c>
      <c r="F34" s="59"/>
    </row>
    <row r="35" spans="1:6" ht="8.1" customHeight="1" x14ac:dyDescent="0.25">
      <c r="A35" s="77"/>
      <c r="B35" s="78"/>
      <c r="C35" s="78"/>
      <c r="D35" s="78"/>
      <c r="E35" s="59"/>
      <c r="F35" s="59"/>
    </row>
    <row r="36" spans="1:6" ht="15" customHeight="1" x14ac:dyDescent="0.25">
      <c r="A36" s="84" t="s">
        <v>20</v>
      </c>
      <c r="B36" s="85"/>
      <c r="C36" s="85"/>
      <c r="D36" s="85"/>
      <c r="E36" s="12"/>
    </row>
    <row r="37" spans="1:6" ht="15" customHeight="1" x14ac:dyDescent="0.25">
      <c r="A37" s="37" t="s">
        <v>21</v>
      </c>
      <c r="B37" s="91"/>
      <c r="C37" s="91"/>
      <c r="D37" s="91"/>
      <c r="E37" s="8"/>
    </row>
    <row r="38" spans="1:6" ht="15" customHeight="1" x14ac:dyDescent="0.25">
      <c r="A38" s="77" t="s">
        <v>41</v>
      </c>
      <c r="B38" s="78">
        <v>4256308</v>
      </c>
      <c r="C38" s="78">
        <v>4244111</v>
      </c>
      <c r="D38" s="78">
        <v>4075106</v>
      </c>
      <c r="E38" s="59">
        <v>4119777</v>
      </c>
      <c r="F38" s="59"/>
    </row>
    <row r="39" spans="1:6" ht="15" customHeight="1" x14ac:dyDescent="0.25">
      <c r="A39" s="77" t="s">
        <v>10</v>
      </c>
      <c r="B39" s="79">
        <v>111100</v>
      </c>
      <c r="C39" s="79">
        <v>85000</v>
      </c>
      <c r="D39" s="79">
        <v>126210</v>
      </c>
      <c r="E39" s="6">
        <v>85000</v>
      </c>
    </row>
    <row r="40" spans="1:6" ht="15" customHeight="1" x14ac:dyDescent="0.25">
      <c r="A40" s="77" t="s">
        <v>22</v>
      </c>
      <c r="B40" s="79">
        <v>6500</v>
      </c>
      <c r="C40" s="79">
        <v>6500</v>
      </c>
      <c r="D40" s="79">
        <v>3840</v>
      </c>
      <c r="E40" s="6">
        <v>6500</v>
      </c>
    </row>
    <row r="41" spans="1:6" ht="17.25" x14ac:dyDescent="0.4">
      <c r="A41" s="77" t="s">
        <v>23</v>
      </c>
      <c r="B41" s="80">
        <v>121325</v>
      </c>
      <c r="C41" s="81">
        <v>89812</v>
      </c>
      <c r="D41" s="81">
        <v>21885</v>
      </c>
      <c r="E41" s="50">
        <v>84100</v>
      </c>
      <c r="F41" s="92"/>
    </row>
    <row r="42" spans="1:6" ht="15" customHeight="1" x14ac:dyDescent="0.25">
      <c r="A42" s="83" t="s">
        <v>24</v>
      </c>
      <c r="B42" s="61">
        <v>4495233</v>
      </c>
      <c r="C42" s="61">
        <v>4425423</v>
      </c>
      <c r="D42" s="61">
        <v>4227041</v>
      </c>
      <c r="E42" s="61">
        <v>4295377</v>
      </c>
      <c r="F42" s="59"/>
    </row>
    <row r="43" spans="1:6" ht="8.1" customHeight="1" x14ac:dyDescent="0.25">
      <c r="A43" s="77"/>
      <c r="B43" s="79"/>
      <c r="C43" s="79"/>
      <c r="D43" s="79"/>
      <c r="E43" s="6"/>
    </row>
    <row r="44" spans="1:6" ht="15" customHeight="1" x14ac:dyDescent="0.25">
      <c r="A44" s="37" t="s">
        <v>25</v>
      </c>
      <c r="B44" s="91"/>
      <c r="C44" s="91"/>
      <c r="D44" s="91"/>
      <c r="E44" s="8"/>
    </row>
    <row r="45" spans="1:6" ht="15" customHeight="1" x14ac:dyDescent="0.25">
      <c r="A45" s="77" t="s">
        <v>26</v>
      </c>
      <c r="B45" s="79">
        <v>34500</v>
      </c>
      <c r="C45" s="79">
        <v>29450</v>
      </c>
      <c r="D45" s="79">
        <v>21401</v>
      </c>
      <c r="E45" s="6">
        <v>29350</v>
      </c>
    </row>
    <row r="46" spans="1:6" ht="15" customHeight="1" x14ac:dyDescent="0.25">
      <c r="A46" s="77" t="s">
        <v>27</v>
      </c>
      <c r="B46" s="79">
        <v>2272019</v>
      </c>
      <c r="C46" s="79">
        <v>2020520</v>
      </c>
      <c r="D46" s="79">
        <v>1949436</v>
      </c>
      <c r="E46" s="6">
        <v>1760105</v>
      </c>
    </row>
    <row r="47" spans="1:6" ht="15" customHeight="1" x14ac:dyDescent="0.25">
      <c r="A47" s="77" t="s">
        <v>28</v>
      </c>
      <c r="B47" s="79">
        <v>88066</v>
      </c>
      <c r="C47" s="79">
        <v>110700</v>
      </c>
      <c r="D47" s="79">
        <v>64376</v>
      </c>
      <c r="E47" s="6">
        <v>122200</v>
      </c>
    </row>
    <row r="48" spans="1:6" ht="15" customHeight="1" x14ac:dyDescent="0.25">
      <c r="A48" s="77" t="s">
        <v>29</v>
      </c>
      <c r="B48" s="79">
        <v>367016</v>
      </c>
      <c r="C48" s="79">
        <v>384833</v>
      </c>
      <c r="D48" s="79">
        <v>355711</v>
      </c>
      <c r="E48" s="6">
        <v>361454</v>
      </c>
    </row>
    <row r="49" spans="1:6" ht="15" customHeight="1" x14ac:dyDescent="0.25">
      <c r="A49" s="77" t="s">
        <v>63</v>
      </c>
      <c r="B49" s="79">
        <v>0</v>
      </c>
      <c r="C49" s="79">
        <v>3000</v>
      </c>
      <c r="D49" s="79">
        <v>0</v>
      </c>
      <c r="E49" s="6">
        <v>10000</v>
      </c>
    </row>
    <row r="50" spans="1:6" ht="15" customHeight="1" x14ac:dyDescent="0.25">
      <c r="A50" s="77" t="s">
        <v>30</v>
      </c>
      <c r="B50" s="79">
        <v>903200</v>
      </c>
      <c r="C50" s="79">
        <v>495425</v>
      </c>
      <c r="D50" s="79">
        <v>853244</v>
      </c>
      <c r="E50" s="6">
        <v>419638</v>
      </c>
    </row>
    <row r="51" spans="1:6" ht="15" customHeight="1" x14ac:dyDescent="0.25">
      <c r="A51" s="77" t="s">
        <v>44</v>
      </c>
      <c r="B51" s="79">
        <v>3079975</v>
      </c>
      <c r="C51" s="79">
        <v>3711100</v>
      </c>
      <c r="D51" s="79">
        <v>2265618</v>
      </c>
      <c r="E51" s="6">
        <v>3024900</v>
      </c>
    </row>
    <row r="52" spans="1:6" ht="15" customHeight="1" x14ac:dyDescent="0.25">
      <c r="A52" s="77" t="s">
        <v>31</v>
      </c>
      <c r="B52" s="79">
        <v>4729333</v>
      </c>
      <c r="C52" s="79">
        <v>6108300</v>
      </c>
      <c r="D52" s="79">
        <v>5287858</v>
      </c>
      <c r="E52" s="6">
        <v>5572110</v>
      </c>
    </row>
    <row r="53" spans="1:6" ht="17.25" x14ac:dyDescent="0.4">
      <c r="A53" s="77" t="s">
        <v>32</v>
      </c>
      <c r="B53" s="80">
        <v>112227</v>
      </c>
      <c r="C53" s="81">
        <v>106700</v>
      </c>
      <c r="D53" s="81">
        <v>83387</v>
      </c>
      <c r="E53" s="50">
        <v>98221</v>
      </c>
      <c r="F53" s="92"/>
    </row>
    <row r="54" spans="1:6" ht="15" customHeight="1" x14ac:dyDescent="0.25">
      <c r="A54" s="83" t="s">
        <v>33</v>
      </c>
      <c r="B54" s="61">
        <v>11586336</v>
      </c>
      <c r="C54" s="61">
        <v>12970028</v>
      </c>
      <c r="D54" s="61">
        <v>10881031</v>
      </c>
      <c r="E54" s="61">
        <v>11397978</v>
      </c>
      <c r="F54" s="59"/>
    </row>
    <row r="55" spans="1:6" ht="8.1" customHeight="1" x14ac:dyDescent="0.25">
      <c r="A55" s="77"/>
      <c r="B55" s="79"/>
      <c r="C55" s="79"/>
      <c r="D55" s="79"/>
      <c r="E55" s="6"/>
    </row>
    <row r="56" spans="1:6" ht="15" customHeight="1" x14ac:dyDescent="0.25">
      <c r="A56" s="37" t="s">
        <v>34</v>
      </c>
      <c r="B56" s="91"/>
      <c r="C56" s="91"/>
      <c r="D56" s="91"/>
      <c r="E56" s="8"/>
    </row>
    <row r="57" spans="1:6" ht="15" customHeight="1" x14ac:dyDescent="0.25">
      <c r="A57" s="77" t="s">
        <v>35</v>
      </c>
      <c r="B57" s="79">
        <v>31300</v>
      </c>
      <c r="C57" s="79">
        <v>94000</v>
      </c>
      <c r="D57" s="79">
        <v>40567</v>
      </c>
      <c r="E57" s="6">
        <v>34600</v>
      </c>
    </row>
    <row r="58" spans="1:6" ht="15" customHeight="1" x14ac:dyDescent="0.25">
      <c r="A58" s="77" t="s">
        <v>36</v>
      </c>
      <c r="B58" s="79">
        <v>28450</v>
      </c>
      <c r="C58" s="79">
        <v>24900</v>
      </c>
      <c r="D58" s="79">
        <v>18788</v>
      </c>
      <c r="E58" s="6">
        <v>18055</v>
      </c>
    </row>
    <row r="59" spans="1:6" ht="15" customHeight="1" x14ac:dyDescent="0.25">
      <c r="A59" s="77" t="s">
        <v>37</v>
      </c>
      <c r="B59" s="79">
        <v>283600</v>
      </c>
      <c r="C59" s="79">
        <v>226650</v>
      </c>
      <c r="D59" s="79">
        <v>302250</v>
      </c>
      <c r="E59" s="6">
        <v>168900</v>
      </c>
    </row>
    <row r="60" spans="1:6" ht="17.25" x14ac:dyDescent="0.4">
      <c r="A60" s="77" t="s">
        <v>38</v>
      </c>
      <c r="B60" s="80">
        <v>1871482</v>
      </c>
      <c r="C60" s="81">
        <v>252450</v>
      </c>
      <c r="D60" s="81">
        <v>345719</v>
      </c>
      <c r="E60" s="50">
        <v>179450</v>
      </c>
      <c r="F60" s="92"/>
    </row>
    <row r="61" spans="1:6" ht="15" customHeight="1" x14ac:dyDescent="0.25">
      <c r="A61" s="83" t="s">
        <v>39</v>
      </c>
      <c r="B61" s="61">
        <v>2214832</v>
      </c>
      <c r="C61" s="61">
        <v>598000</v>
      </c>
      <c r="D61" s="61">
        <v>707324</v>
      </c>
      <c r="E61" s="61">
        <v>401005</v>
      </c>
      <c r="F61" s="59"/>
    </row>
    <row r="62" spans="1:6" ht="8.1" customHeight="1" x14ac:dyDescent="0.25">
      <c r="A62" s="77"/>
      <c r="B62" s="59"/>
      <c r="C62" s="59"/>
      <c r="D62" s="59"/>
      <c r="E62" s="59"/>
      <c r="F62" s="59"/>
    </row>
    <row r="63" spans="1:6" ht="15.95" customHeight="1" x14ac:dyDescent="0.25">
      <c r="A63" s="104" t="s">
        <v>114</v>
      </c>
      <c r="B63" s="61">
        <v>18296401</v>
      </c>
      <c r="C63" s="61">
        <v>17993451</v>
      </c>
      <c r="D63" s="61">
        <v>15815396</v>
      </c>
      <c r="E63" s="61">
        <v>16094360</v>
      </c>
      <c r="F63" s="59"/>
    </row>
    <row r="64" spans="1:6" ht="15.95" customHeight="1" x14ac:dyDescent="0.25">
      <c r="C64" s="61"/>
      <c r="D64" s="61"/>
      <c r="E64" s="61"/>
      <c r="F64" s="59"/>
    </row>
    <row r="65" spans="1:5" ht="15.95" customHeight="1" x14ac:dyDescent="0.25">
      <c r="A65" s="97" t="s">
        <v>112</v>
      </c>
      <c r="B65" s="93">
        <v>11560646</v>
      </c>
      <c r="C65" s="93">
        <v>10544374</v>
      </c>
      <c r="D65" s="93">
        <v>13716182</v>
      </c>
      <c r="E65" s="93">
        <v>11229427</v>
      </c>
    </row>
    <row r="66" spans="1:5" ht="15.95" customHeight="1" x14ac:dyDescent="0.25">
      <c r="A66" s="97"/>
      <c r="B66" s="93"/>
      <c r="C66" s="93"/>
      <c r="D66" s="93"/>
      <c r="E66" s="93"/>
    </row>
    <row r="67" spans="1:5" x14ac:dyDescent="0.25">
      <c r="C67" s="96">
        <v>27700000</v>
      </c>
      <c r="D67" s="94"/>
    </row>
    <row r="68" spans="1:5" x14ac:dyDescent="0.25">
      <c r="C68" s="79"/>
      <c r="D68" s="79"/>
    </row>
    <row r="69" spans="1:5" x14ac:dyDescent="0.25">
      <c r="C69" s="90">
        <v>45823351</v>
      </c>
      <c r="D69" s="79"/>
    </row>
    <row r="70" spans="1:5" x14ac:dyDescent="0.25">
      <c r="B70" s="6"/>
      <c r="C70" s="6"/>
      <c r="D70" s="6"/>
    </row>
    <row r="71" spans="1:5" x14ac:dyDescent="0.25">
      <c r="B71" s="6"/>
      <c r="C71" s="6"/>
      <c r="D71" s="6"/>
    </row>
    <row r="72" spans="1:5" x14ac:dyDescent="0.25">
      <c r="C72" s="6"/>
      <c r="D72" s="6"/>
    </row>
    <row r="73" spans="1:5" x14ac:dyDescent="0.25">
      <c r="C73" s="6"/>
      <c r="D73" s="6"/>
    </row>
  </sheetData>
  <mergeCells count="3">
    <mergeCell ref="A1:E1"/>
    <mergeCell ref="A2:E2"/>
    <mergeCell ref="A3:E3"/>
  </mergeCells>
  <printOptions horizontalCentered="1" verticalCentered="1" gridLines="1"/>
  <pageMargins left="0" right="0" top="0" bottom="0" header="0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21 vs 20 Actuals thru Nov</vt:lpstr>
      <vt:lpstr>21 Act vs 21 Budg thru Nov</vt:lpstr>
      <vt:lpstr>21 vs 20 Actuals thru Dec</vt:lpstr>
      <vt:lpstr>21 Act vs 21 Budg thru Dec</vt:lpstr>
      <vt:lpstr>21 vs 20 Actuals thru Feb</vt:lpstr>
      <vt:lpstr>21 Act vs 21 Budg thru Feb</vt:lpstr>
      <vt:lpstr>FY 2023 BOC</vt:lpstr>
      <vt:lpstr>'21 Act vs 21 Budg thru Dec'!Print_Area</vt:lpstr>
      <vt:lpstr>'21 Act vs 21 Budg thru Feb'!Print_Area</vt:lpstr>
      <vt:lpstr>'21 Act vs 21 Budg thru Nov'!Print_Area</vt:lpstr>
      <vt:lpstr>'21 vs 20 Actuals thru Dec'!Print_Area</vt:lpstr>
      <vt:lpstr>'21 vs 20 Actuals thru Feb'!Print_Area</vt:lpstr>
      <vt:lpstr>'21 vs 20 Actuals thru Nov'!Print_Area</vt:lpstr>
      <vt:lpstr>'FY 2023 BOC'!Print_Area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Bourdin</dc:creator>
  <cp:lastModifiedBy>DeeDee Wood</cp:lastModifiedBy>
  <cp:lastPrinted>2022-06-20T18:33:45Z</cp:lastPrinted>
  <dcterms:created xsi:type="dcterms:W3CDTF">2012-06-07T21:09:59Z</dcterms:created>
  <dcterms:modified xsi:type="dcterms:W3CDTF">2022-09-19T15:36:32Z</dcterms:modified>
</cp:coreProperties>
</file>